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2160" windowWidth="27795" windowHeight="10545" activeTab="1"/>
  </bookViews>
  <sheets>
    <sheet name="Приложение 1" sheetId="18" r:id="rId1"/>
    <sheet name="Приложение 2" sheetId="16" r:id="rId2"/>
    <sheet name="приложение 3" sheetId="5" r:id="rId3"/>
    <sheet name="приложение 4" sheetId="6" r:id="rId4"/>
    <sheet name="приложение 5" sheetId="7" r:id="rId5"/>
    <sheet name="Приложение 6" sheetId="15" r:id="rId6"/>
    <sheet name="Приложение 7" sheetId="8" r:id="rId7"/>
    <sheet name="Лист1" sheetId="12" r:id="rId8"/>
  </sheets>
  <externalReferences>
    <externalReference r:id="rId9"/>
    <externalReference r:id="rId10"/>
  </externalReferences>
  <definedNames>
    <definedName name="_xlnm._FilterDatabase" localSheetId="3" hidden="1">'приложение 4'!$A$9:$I$180</definedName>
    <definedName name="_xlnm._FilterDatabase" localSheetId="4" hidden="1">'приложение 5'!$A$9:$F$218</definedName>
    <definedName name="bbi1iepey541b3erm5gspvzrtk" localSheetId="5">#REF!</definedName>
    <definedName name="bbi1iepey541b3erm5gspvzrtk">#REF!</definedName>
    <definedName name="eaho2ejrtdbq5dbiou1fruoidk" localSheetId="5">#REF!</definedName>
    <definedName name="eaho2ejrtdbq5dbiou1fruoidk">#REF!</definedName>
    <definedName name="frupzostrx2engzlq5coj1izgc" localSheetId="5">#REF!</definedName>
    <definedName name="frupzostrx2engzlq5coj1izgc">#REF!</definedName>
    <definedName name="hxw0shfsad1bl0w3rcqndiwdqc" localSheetId="5">#REF!</definedName>
    <definedName name="hxw0shfsad1bl0w3rcqndiwdqc">#REF!</definedName>
    <definedName name="idhebtridp4g55tiidmllpbcck" localSheetId="5">#REF!</definedName>
    <definedName name="idhebtridp4g55tiidmllpbcck">#REF!</definedName>
    <definedName name="ilgrxtqehl5ojfb14epb1v0vpk" localSheetId="5">#REF!</definedName>
    <definedName name="ilgrxtqehl5ojfb14epb1v0vpk">#REF!</definedName>
    <definedName name="iukfigxpatbnff5s3qskal4gtw" localSheetId="5">#REF!</definedName>
    <definedName name="iukfigxpatbnff5s3qskal4gtw">#REF!</definedName>
    <definedName name="jbdrlm0jnl44bjyvb5parwosvs" localSheetId="5">#REF!</definedName>
    <definedName name="jbdrlm0jnl44bjyvb5parwosvs">#REF!</definedName>
    <definedName name="jmacmxvbgdblzh0tvh4m0gadvc" localSheetId="5">#REF!</definedName>
    <definedName name="jmacmxvbgdblzh0tvh4m0gadvc">#REF!</definedName>
    <definedName name="lens0r1dzt0ivfvdjvc15ibd1c" localSheetId="5">#REF!</definedName>
    <definedName name="lens0r1dzt0ivfvdjvc15ibd1c">#REF!</definedName>
    <definedName name="lzvlrjqro14zjenw2ueuj40zww" localSheetId="5">#REF!</definedName>
    <definedName name="lzvlrjqro14zjenw2ueuj40zww">#REF!</definedName>
    <definedName name="miceqmminp2t5fkvq3dcp5azms" localSheetId="5">#REF!</definedName>
    <definedName name="miceqmminp2t5fkvq3dcp5azms">#REF!</definedName>
    <definedName name="muebv3fbrh0nbhfkcvkdiuichg" localSheetId="5">#REF!</definedName>
    <definedName name="muebv3fbrh0nbhfkcvkdiuichg">#REF!</definedName>
    <definedName name="oishsvraxpbc3jz3kk3m5zcwm0" localSheetId="5">#REF!</definedName>
    <definedName name="oishsvraxpbc3jz3kk3m5zcwm0">#REF!</definedName>
    <definedName name="pf4ktio2ct2wb5lic4d0ij22zg" localSheetId="5">#REF!</definedName>
    <definedName name="pf4ktio2ct2wb5lic4d0ij22zg">#REF!</definedName>
    <definedName name="qhgcjeqs4xbh5af0b0knrgslds" localSheetId="5">#REF!</definedName>
    <definedName name="qhgcjeqs4xbh5af0b0knrgslds">#REF!</definedName>
    <definedName name="qm1r2zbyvxaabczgs5nd53xmq4" localSheetId="5">#REF!</definedName>
    <definedName name="qm1r2zbyvxaabczgs5nd53xmq4">#REF!</definedName>
    <definedName name="qunp1nijp1aaxbgswizf0lz200" localSheetId="5">#REF!</definedName>
    <definedName name="qunp1nijp1aaxbgswizf0lz200">#REF!</definedName>
    <definedName name="rcn525ywmx4pde1kn3aevp0dfk" localSheetId="5">#REF!</definedName>
    <definedName name="rcn525ywmx4pde1kn3aevp0dfk">#REF!</definedName>
    <definedName name="swpjxblu3dbu33cqzchc5hkk0w" localSheetId="5">#REF!</definedName>
    <definedName name="swpjxblu3dbu33cqzchc5hkk0w">#REF!</definedName>
    <definedName name="syjdhdk35p4nh3cjfxnviauzls" localSheetId="5">#REF!</definedName>
    <definedName name="syjdhdk35p4nh3cjfxnviauzls">#REF!</definedName>
    <definedName name="t1iocfpqd13el1y2ekxnfpwstw" localSheetId="5">#REF!</definedName>
    <definedName name="t1iocfpqd13el1y2ekxnfpwstw">#REF!</definedName>
    <definedName name="tqwxsrwtrd3p34nrtmvfunozag" localSheetId="5">#REF!</definedName>
    <definedName name="tqwxsrwtrd3p34nrtmvfunozag">#REF!</definedName>
    <definedName name="u1m5vran2x1y11qx5xfu2j4tz4" localSheetId="5">#REF!</definedName>
    <definedName name="u1m5vran2x1y11qx5xfu2j4tz4">#REF!</definedName>
    <definedName name="ua41amkhph5c1h53xxk2wbxxpk" localSheetId="5">#REF!</definedName>
    <definedName name="ua41amkhph5c1h53xxk2wbxxpk">#REF!</definedName>
    <definedName name="vm2ikyzfyl3c3f2vbofwexhk2c" localSheetId="5">#REF!</definedName>
    <definedName name="vm2ikyzfyl3c3f2vbofwexhk2c">#REF!</definedName>
    <definedName name="w1nehiloq13fdfxu13klcaopgw" localSheetId="5">#REF!</definedName>
    <definedName name="w1nehiloq13fdfxu13klcaopgw">#REF!</definedName>
    <definedName name="whvhn4kg25bcn2skpkb3bqydz4" localSheetId="5">#REF!</definedName>
    <definedName name="whvhn4kg25bcn2skpkb3bqydz4">#REF!</definedName>
    <definedName name="wqazcjs4o12a5adpyzuqhb5cko" localSheetId="5">#REF!</definedName>
    <definedName name="wqazcjs4o12a5adpyzuqhb5cko">#REF!</definedName>
    <definedName name="x50bwhcspt2rtgjg0vg0hfk2ns" localSheetId="5">#REF!</definedName>
    <definedName name="x50bwhcspt2rtgjg0vg0hfk2ns">#REF!</definedName>
    <definedName name="xfiudkw3z5aq3govpiyzsxyki0" localSheetId="5">#REF!</definedName>
    <definedName name="xfiudkw3z5aq3govpiyzsxyki0">#REF!</definedName>
    <definedName name="_xlnm.Print_Titles" localSheetId="1">'Приложение 2'!$11:$11</definedName>
    <definedName name="_xlnm.Print_Titles" localSheetId="2">'приложение 3'!$7:$8</definedName>
    <definedName name="_xlnm.Print_Titles" localSheetId="3">'приложение 4'!$10:$10</definedName>
    <definedName name="_xlnm.Print_Titles" localSheetId="4">'приложение 5'!$9:$9</definedName>
    <definedName name="_xlnm.Print_Area" localSheetId="1">'Приложение 2'!$A$1:$M$96</definedName>
    <definedName name="_xlnm.Print_Area" localSheetId="2">'приложение 3'!$A$1:$F$32</definedName>
    <definedName name="_xlnm.Print_Area" localSheetId="3">'приложение 4'!$A$1:$I$178</definedName>
    <definedName name="_xlnm.Print_Area" localSheetId="4">'приложение 5'!$A$1:$H$216</definedName>
    <definedName name="_xlnm.Print_Area" localSheetId="5">'Приложение 6'!$A$1:$AM$14</definedName>
  </definedNames>
  <calcPr calcId="144525" refMode="R1C1" fullPrecision="0"/>
</workbook>
</file>

<file path=xl/calcChain.xml><?xml version="1.0" encoding="utf-8"?>
<calcChain xmlns="http://schemas.openxmlformats.org/spreadsheetml/2006/main">
  <c r="H91" i="6" l="1"/>
  <c r="H100" i="6"/>
  <c r="H32" i="6" l="1"/>
  <c r="G97" i="6"/>
  <c r="K72" i="16"/>
  <c r="K92" i="16" l="1"/>
  <c r="H21" i="7"/>
  <c r="B90" i="7"/>
  <c r="G94" i="7"/>
  <c r="G93" i="7" s="1"/>
  <c r="G92" i="7" s="1"/>
  <c r="G91" i="7" s="1"/>
  <c r="G90" i="7" s="1"/>
  <c r="H94" i="7"/>
  <c r="F94" i="7"/>
  <c r="F93" i="7" s="1"/>
  <c r="F92" i="7" s="1"/>
  <c r="F91" i="7" s="1"/>
  <c r="F90" i="7" s="1"/>
  <c r="H93" i="7"/>
  <c r="H92" i="7" s="1"/>
  <c r="H91" i="7" s="1"/>
  <c r="H90" i="7" s="1"/>
  <c r="G69" i="7"/>
  <c r="G68" i="7" s="1"/>
  <c r="G67" i="7" s="1"/>
  <c r="G66" i="7" s="1"/>
  <c r="G65" i="7" s="1"/>
  <c r="H69" i="7"/>
  <c r="F69" i="7"/>
  <c r="G74" i="7"/>
  <c r="H74" i="7"/>
  <c r="F74" i="7"/>
  <c r="G99" i="7"/>
  <c r="H99" i="7"/>
  <c r="H98" i="7" s="1"/>
  <c r="H97" i="7" s="1"/>
  <c r="H96" i="7" s="1"/>
  <c r="H95" i="7" s="1"/>
  <c r="F99" i="7"/>
  <c r="B95" i="7"/>
  <c r="G98" i="7"/>
  <c r="G97" i="7" s="1"/>
  <c r="G96" i="7" s="1"/>
  <c r="G95" i="7" s="1"/>
  <c r="F98" i="7"/>
  <c r="F97" i="7" s="1"/>
  <c r="F96" i="7" s="1"/>
  <c r="F95" i="7" s="1"/>
  <c r="G26" i="7"/>
  <c r="H26" i="7"/>
  <c r="H25" i="7" s="1"/>
  <c r="H24" i="7" s="1"/>
  <c r="H23" i="7" s="1"/>
  <c r="H22" i="7" s="1"/>
  <c r="F26" i="7"/>
  <c r="F25" i="7" s="1"/>
  <c r="F24" i="7" s="1"/>
  <c r="F23" i="7" s="1"/>
  <c r="F22" i="7" s="1"/>
  <c r="B22" i="7"/>
  <c r="G25" i="7"/>
  <c r="G24" i="7" s="1"/>
  <c r="G23" i="7" s="1"/>
  <c r="G22" i="7" s="1"/>
  <c r="B65" i="7"/>
  <c r="F68" i="7"/>
  <c r="F67" i="7" s="1"/>
  <c r="F66" i="7" s="1"/>
  <c r="F65" i="7" s="1"/>
  <c r="H68" i="7"/>
  <c r="H67" i="7" s="1"/>
  <c r="H66" i="7" s="1"/>
  <c r="H65" i="7" s="1"/>
  <c r="G174" i="7"/>
  <c r="H174" i="7"/>
  <c r="H173" i="7" s="1"/>
  <c r="H172" i="7" s="1"/>
  <c r="H171" i="7" s="1"/>
  <c r="H170" i="7" s="1"/>
  <c r="F174" i="7"/>
  <c r="F173" i="7" s="1"/>
  <c r="F172" i="7" s="1"/>
  <c r="F171" i="7" s="1"/>
  <c r="F170" i="7" s="1"/>
  <c r="B170" i="7"/>
  <c r="G173" i="7"/>
  <c r="G172" i="7" s="1"/>
  <c r="G171" i="7" s="1"/>
  <c r="G170" i="7" s="1"/>
  <c r="F32" i="5"/>
  <c r="I32" i="6"/>
  <c r="H187" i="6"/>
  <c r="K97" i="6" l="1"/>
  <c r="I96" i="6"/>
  <c r="H96" i="6"/>
  <c r="H95" i="6" s="1"/>
  <c r="I95" i="6"/>
  <c r="I40" i="6"/>
  <c r="H40" i="6"/>
  <c r="I42" i="6"/>
  <c r="H42" i="6"/>
  <c r="L97" i="6" l="1"/>
  <c r="G96" i="6"/>
  <c r="G95" i="6" s="1"/>
  <c r="G42" i="6" l="1"/>
  <c r="G41" i="6" s="1"/>
  <c r="H41" i="6"/>
  <c r="I41" i="6"/>
  <c r="G91" i="6" l="1"/>
  <c r="G40" i="6"/>
  <c r="G30" i="6"/>
  <c r="G162" i="6"/>
  <c r="G147" i="6"/>
  <c r="L147" i="6" s="1"/>
  <c r="I146" i="6"/>
  <c r="I145" i="6" s="1"/>
  <c r="H146" i="6"/>
  <c r="H145" i="6"/>
  <c r="G130" i="6"/>
  <c r="K119" i="6"/>
  <c r="L119" i="6" s="1"/>
  <c r="I118" i="6"/>
  <c r="I117" i="6" s="1"/>
  <c r="H118" i="6"/>
  <c r="H117" i="6" s="1"/>
  <c r="G118" i="6"/>
  <c r="G117" i="6" s="1"/>
  <c r="K94" i="6"/>
  <c r="L94" i="6" s="1"/>
  <c r="I93" i="6"/>
  <c r="I92" i="6" s="1"/>
  <c r="H93" i="6"/>
  <c r="G93" i="6"/>
  <c r="G92" i="6" s="1"/>
  <c r="H92" i="6"/>
  <c r="G58" i="6"/>
  <c r="G18" i="6"/>
  <c r="K90" i="16"/>
  <c r="K82" i="16"/>
  <c r="K18" i="16"/>
  <c r="K14" i="16" s="1"/>
  <c r="K16" i="16"/>
  <c r="P60" i="16"/>
  <c r="P59" i="16" s="1"/>
  <c r="P58" i="16" s="1"/>
  <c r="P57" i="16" s="1"/>
  <c r="P39" i="16"/>
  <c r="P38" i="16" s="1"/>
  <c r="P34" i="16"/>
  <c r="P33" i="16" s="1"/>
  <c r="P31" i="16"/>
  <c r="P30" i="16" s="1"/>
  <c r="P29" i="16" s="1"/>
  <c r="P18" i="16"/>
  <c r="P17" i="16"/>
  <c r="P16" i="16"/>
  <c r="P15" i="16"/>
  <c r="P21" i="16"/>
  <c r="P92" i="16"/>
  <c r="P91" i="16" s="1"/>
  <c r="P81" i="16"/>
  <c r="P80" i="16" s="1"/>
  <c r="P79" i="16" s="1"/>
  <c r="P77" i="16"/>
  <c r="P75" i="16"/>
  <c r="P74" i="16" s="1"/>
  <c r="P71" i="16"/>
  <c r="P70" i="16" s="1"/>
  <c r="P69" i="16" s="1"/>
  <c r="P66" i="16"/>
  <c r="P65" i="16" s="1"/>
  <c r="P64" i="16" s="1"/>
  <c r="P55" i="16"/>
  <c r="P54" i="16" s="1"/>
  <c r="P52" i="16"/>
  <c r="P51" i="16" s="1"/>
  <c r="P50" i="16" s="1"/>
  <c r="P48" i="16"/>
  <c r="P46" i="16"/>
  <c r="P42" i="16"/>
  <c r="P41" i="16" s="1"/>
  <c r="P40" i="16" s="1"/>
  <c r="P36" i="16"/>
  <c r="P27" i="16"/>
  <c r="P25" i="16"/>
  <c r="P23" i="16"/>
  <c r="P14" i="16" l="1"/>
  <c r="P13" i="16" s="1"/>
  <c r="G146" i="6"/>
  <c r="G145" i="6" s="1"/>
  <c r="P20" i="16"/>
  <c r="P19" i="16" s="1"/>
  <c r="P73" i="16"/>
  <c r="P63" i="16" s="1"/>
  <c r="P45" i="16"/>
  <c r="P44" i="16" s="1"/>
  <c r="P35" i="16"/>
  <c r="P32" i="16" s="1"/>
  <c r="AL14" i="15"/>
  <c r="AM8" i="15"/>
  <c r="AM9" i="15"/>
  <c r="AM14" i="15" s="1"/>
  <c r="AM10" i="15"/>
  <c r="AM11" i="15"/>
  <c r="AM12" i="15"/>
  <c r="AM13" i="15"/>
  <c r="AM7" i="15"/>
  <c r="P62" i="16" l="1"/>
  <c r="P12" i="16"/>
  <c r="G128" i="7"/>
  <c r="G127" i="7" s="1"/>
  <c r="G126" i="7" s="1"/>
  <c r="H128" i="7"/>
  <c r="H127" i="7" s="1"/>
  <c r="G133" i="7"/>
  <c r="H133" i="7"/>
  <c r="F133" i="7"/>
  <c r="F132" i="7" s="1"/>
  <c r="F131" i="7" s="1"/>
  <c r="B123" i="7"/>
  <c r="B122" i="7"/>
  <c r="H132" i="7"/>
  <c r="H131" i="7" s="1"/>
  <c r="H130" i="7" s="1"/>
  <c r="H129" i="7" s="1"/>
  <c r="G132" i="7"/>
  <c r="G131" i="7" s="1"/>
  <c r="G130" i="7" s="1"/>
  <c r="G129" i="7" s="1"/>
  <c r="P96" i="16" l="1"/>
  <c r="H126" i="7"/>
  <c r="H125" i="7" s="1"/>
  <c r="H124" i="7" s="1"/>
  <c r="H123" i="7" s="1"/>
  <c r="H122" i="7" s="1"/>
  <c r="F130" i="7"/>
  <c r="F129" i="7" s="1"/>
  <c r="G125" i="7"/>
  <c r="G124" i="7" s="1"/>
  <c r="G123" i="7" s="1"/>
  <c r="G122" i="7" s="1"/>
  <c r="B18" i="7" l="1"/>
  <c r="B17" i="7"/>
  <c r="G20" i="7"/>
  <c r="H20" i="7"/>
  <c r="F20" i="7"/>
  <c r="F19" i="7" s="1"/>
  <c r="F18" i="7" s="1"/>
  <c r="F17" i="7" s="1"/>
  <c r="H19" i="7"/>
  <c r="G19" i="7"/>
  <c r="H18" i="7"/>
  <c r="G18" i="7"/>
  <c r="G17" i="7" s="1"/>
  <c r="H17" i="7"/>
  <c r="F89" i="7"/>
  <c r="F88" i="7" s="1"/>
  <c r="F87" i="7" s="1"/>
  <c r="F86" i="7" s="1"/>
  <c r="F85" i="7" s="1"/>
  <c r="F84" i="7"/>
  <c r="F83" i="7" s="1"/>
  <c r="F82" i="7" s="1"/>
  <c r="F81" i="7" s="1"/>
  <c r="F80" i="7" s="1"/>
  <c r="I83" i="6" l="1"/>
  <c r="I82" i="6"/>
  <c r="H83" i="6"/>
  <c r="H82" i="6"/>
  <c r="G169" i="6" l="1"/>
  <c r="L169" i="6" s="1"/>
  <c r="L162" i="6"/>
  <c r="L155" i="6"/>
  <c r="K152" i="6"/>
  <c r="G152" i="6"/>
  <c r="G154" i="6"/>
  <c r="G153" i="6" s="1"/>
  <c r="I154" i="6"/>
  <c r="H154" i="6"/>
  <c r="H153" i="6" s="1"/>
  <c r="I153" i="6"/>
  <c r="I151" i="6"/>
  <c r="H151" i="6"/>
  <c r="I150" i="6" l="1"/>
  <c r="I149" i="6" s="1"/>
  <c r="I148" i="6" s="1"/>
  <c r="H89" i="7"/>
  <c r="H88" i="7" s="1"/>
  <c r="H87" i="7" s="1"/>
  <c r="H86" i="7" s="1"/>
  <c r="H85" i="7" s="1"/>
  <c r="H150" i="6"/>
  <c r="H149" i="6" s="1"/>
  <c r="H148" i="6" s="1"/>
  <c r="G89" i="7"/>
  <c r="G88" i="7" s="1"/>
  <c r="G87" i="7" s="1"/>
  <c r="G86" i="7" s="1"/>
  <c r="G85" i="7" s="1"/>
  <c r="G151" i="6"/>
  <c r="G150" i="6" s="1"/>
  <c r="F128" i="7"/>
  <c r="F127" i="7" s="1"/>
  <c r="F126" i="7" s="1"/>
  <c r="F125" i="7" s="1"/>
  <c r="F124" i="7" s="1"/>
  <c r="F123" i="7" s="1"/>
  <c r="F122" i="7" s="1"/>
  <c r="L152" i="6"/>
  <c r="G149" i="6"/>
  <c r="G148" i="6" s="1"/>
  <c r="L144" i="6" l="1"/>
  <c r="L141" i="6"/>
  <c r="I143" i="6"/>
  <c r="H143" i="6"/>
  <c r="G143" i="6"/>
  <c r="G142" i="6" s="1"/>
  <c r="I140" i="6"/>
  <c r="I139" i="6" s="1"/>
  <c r="H140" i="6"/>
  <c r="H139" i="6" s="1"/>
  <c r="G140" i="6"/>
  <c r="G139" i="6" s="1"/>
  <c r="G138" i="6"/>
  <c r="K138" i="6"/>
  <c r="L135" i="6"/>
  <c r="L132" i="6"/>
  <c r="K130" i="6"/>
  <c r="K127" i="6"/>
  <c r="L127" i="6" s="1"/>
  <c r="K124" i="6"/>
  <c r="K122" i="6"/>
  <c r="G122" i="6"/>
  <c r="L113" i="6"/>
  <c r="G106" i="6"/>
  <c r="L106" i="6" s="1"/>
  <c r="K100" i="6"/>
  <c r="K91" i="6"/>
  <c r="L84" i="6"/>
  <c r="G82" i="6"/>
  <c r="K82" i="6"/>
  <c r="K75" i="6"/>
  <c r="K73" i="6"/>
  <c r="L73" i="6" s="1"/>
  <c r="L66" i="6"/>
  <c r="K64" i="6"/>
  <c r="L64" i="6" s="1"/>
  <c r="K61" i="6"/>
  <c r="L61" i="6" s="1"/>
  <c r="L58" i="6"/>
  <c r="L55" i="6"/>
  <c r="L49" i="6"/>
  <c r="K40" i="6"/>
  <c r="L40" i="6" s="1"/>
  <c r="G37" i="6"/>
  <c r="K37" i="6"/>
  <c r="K34" i="6"/>
  <c r="L34" i="6" s="1"/>
  <c r="K32" i="6"/>
  <c r="K30" i="6"/>
  <c r="L30" i="6" s="1"/>
  <c r="L24" i="6"/>
  <c r="K18" i="6"/>
  <c r="K52" i="16"/>
  <c r="K51" i="16" s="1"/>
  <c r="K50" i="16" s="1"/>
  <c r="M50" i="16"/>
  <c r="L50" i="16"/>
  <c r="L59" i="16"/>
  <c r="L58" i="16" s="1"/>
  <c r="L57" i="16" s="1"/>
  <c r="M59" i="16"/>
  <c r="M58" i="16" s="1"/>
  <c r="M57" i="16" s="1"/>
  <c r="K59" i="16"/>
  <c r="K58" i="16" s="1"/>
  <c r="K57" i="16" s="1"/>
  <c r="L81" i="16"/>
  <c r="M81" i="16"/>
  <c r="K31" i="16"/>
  <c r="L71" i="16"/>
  <c r="M71" i="16"/>
  <c r="K71" i="16"/>
  <c r="H142" i="6" l="1"/>
  <c r="G84" i="7"/>
  <c r="G83" i="7" s="1"/>
  <c r="G82" i="7" s="1"/>
  <c r="G81" i="7" s="1"/>
  <c r="G80" i="7" s="1"/>
  <c r="I142" i="6"/>
  <c r="H84" i="7"/>
  <c r="H83" i="7" s="1"/>
  <c r="H82" i="7" s="1"/>
  <c r="H81" i="7" s="1"/>
  <c r="H80" i="7" s="1"/>
  <c r="L100" i="6"/>
  <c r="K179" i="6"/>
  <c r="L32" i="6"/>
  <c r="L130" i="6"/>
  <c r="L138" i="6"/>
  <c r="L91" i="6"/>
  <c r="L82" i="6"/>
  <c r="L122" i="6"/>
  <c r="G83" i="6"/>
  <c r="L37" i="6"/>
  <c r="W14" i="15" l="1"/>
  <c r="W8" i="15"/>
  <c r="W9" i="15"/>
  <c r="W10" i="15"/>
  <c r="W11" i="15"/>
  <c r="W12" i="15"/>
  <c r="W13" i="15"/>
  <c r="W7" i="15"/>
  <c r="K81" i="16" l="1"/>
  <c r="G39" i="6"/>
  <c r="G38" i="6" s="1"/>
  <c r="F169" i="7" s="1"/>
  <c r="F168" i="7" s="1"/>
  <c r="F167" i="7" s="1"/>
  <c r="F166" i="7" s="1"/>
  <c r="F165" i="7" s="1"/>
  <c r="H39" i="6" l="1"/>
  <c r="H38" i="6" s="1"/>
  <c r="G169" i="7" s="1"/>
  <c r="G168" i="7" s="1"/>
  <c r="G167" i="7" s="1"/>
  <c r="G166" i="7" s="1"/>
  <c r="G165" i="7" s="1"/>
  <c r="I39" i="6"/>
  <c r="I38" i="6" s="1"/>
  <c r="H169" i="7" s="1"/>
  <c r="H168" i="7" s="1"/>
  <c r="H167" i="7" s="1"/>
  <c r="H166" i="7" s="1"/>
  <c r="H165" i="7" s="1"/>
  <c r="I36" i="6"/>
  <c r="I35" i="6" s="1"/>
  <c r="H36" i="6"/>
  <c r="H35" i="6" s="1"/>
  <c r="G36" i="6"/>
  <c r="G35" i="6" s="1"/>
  <c r="F159" i="7" s="1"/>
  <c r="F158" i="7" s="1"/>
  <c r="F157" i="7" s="1"/>
  <c r="F156" i="7" s="1"/>
  <c r="F155" i="7" s="1"/>
  <c r="H75" i="6"/>
  <c r="G75" i="6"/>
  <c r="L75" i="6" s="1"/>
  <c r="L78" i="16"/>
  <c r="K78" i="16"/>
  <c r="G81" i="6"/>
  <c r="G80" i="6" s="1"/>
  <c r="G159" i="7" l="1"/>
  <c r="G158" i="7" s="1"/>
  <c r="G157" i="7" s="1"/>
  <c r="G156" i="7" s="1"/>
  <c r="G155" i="7" s="1"/>
  <c r="H159" i="7"/>
  <c r="H158" i="7" s="1"/>
  <c r="H157" i="7" s="1"/>
  <c r="H156" i="7" s="1"/>
  <c r="H155" i="7" s="1"/>
  <c r="D25" i="18"/>
  <c r="D23" i="18"/>
  <c r="H124" i="6"/>
  <c r="G124" i="6"/>
  <c r="L124" i="6" s="1"/>
  <c r="H73" i="6" l="1"/>
  <c r="H66" i="6"/>
  <c r="I66" i="6" s="1"/>
  <c r="H64" i="6"/>
  <c r="I64" i="6" s="1"/>
  <c r="I30" i="6"/>
  <c r="L18" i="6" l="1"/>
  <c r="F24" i="18" l="1"/>
  <c r="E24" i="18"/>
  <c r="D24" i="18"/>
  <c r="F22" i="18"/>
  <c r="F21" i="18" s="1"/>
  <c r="F20" i="18" s="1"/>
  <c r="E22" i="18"/>
  <c r="D22" i="18"/>
  <c r="D21" i="18" l="1"/>
  <c r="D20" i="18" s="1"/>
  <c r="E21" i="18"/>
  <c r="E20" i="18" s="1"/>
  <c r="K91" i="16"/>
  <c r="M80" i="16"/>
  <c r="M79" i="16" s="1"/>
  <c r="L80" i="16"/>
  <c r="L79" i="16" s="1"/>
  <c r="K80" i="16"/>
  <c r="K79" i="16" s="1"/>
  <c r="M77" i="16"/>
  <c r="L77" i="16"/>
  <c r="K77" i="16"/>
  <c r="M75" i="16"/>
  <c r="M74" i="16" s="1"/>
  <c r="L75" i="16"/>
  <c r="L74" i="16" s="1"/>
  <c r="K75" i="16"/>
  <c r="K74" i="16" s="1"/>
  <c r="M66" i="16"/>
  <c r="M65" i="16" s="1"/>
  <c r="M64" i="16" s="1"/>
  <c r="L66" i="16"/>
  <c r="L65" i="16" s="1"/>
  <c r="L64" i="16" s="1"/>
  <c r="K66" i="16"/>
  <c r="K65" i="16" s="1"/>
  <c r="K64" i="16" s="1"/>
  <c r="M55" i="16"/>
  <c r="M54" i="16" s="1"/>
  <c r="L55" i="16"/>
  <c r="L54" i="16" s="1"/>
  <c r="K55" i="16"/>
  <c r="K54" i="16" s="1"/>
  <c r="M48" i="16"/>
  <c r="L48" i="16"/>
  <c r="K48" i="16"/>
  <c r="M46" i="16"/>
  <c r="L46" i="16"/>
  <c r="K46" i="16"/>
  <c r="M42" i="16"/>
  <c r="M41" i="16" s="1"/>
  <c r="M40" i="16" s="1"/>
  <c r="L42" i="16"/>
  <c r="L41" i="16" s="1"/>
  <c r="L40" i="16" s="1"/>
  <c r="K42" i="16"/>
  <c r="K41" i="16" s="1"/>
  <c r="K40" i="16" s="1"/>
  <c r="M38" i="16"/>
  <c r="L38" i="16"/>
  <c r="K38" i="16"/>
  <c r="M36" i="16"/>
  <c r="L36" i="16"/>
  <c r="K36" i="16"/>
  <c r="M33" i="16"/>
  <c r="L33" i="16"/>
  <c r="K33" i="16"/>
  <c r="M30" i="16"/>
  <c r="M29" i="16" s="1"/>
  <c r="L30" i="16"/>
  <c r="L29" i="16" s="1"/>
  <c r="K30" i="16"/>
  <c r="K29" i="16" s="1"/>
  <c r="M27" i="16"/>
  <c r="L27" i="16"/>
  <c r="K27" i="16"/>
  <c r="M25" i="16"/>
  <c r="L25" i="16"/>
  <c r="K25" i="16"/>
  <c r="M23" i="16"/>
  <c r="L23" i="16"/>
  <c r="K23" i="16"/>
  <c r="M21" i="16"/>
  <c r="L21" i="16"/>
  <c r="K21" i="16"/>
  <c r="M14" i="16"/>
  <c r="M13" i="16" s="1"/>
  <c r="L14" i="16"/>
  <c r="L13" i="16" s="1"/>
  <c r="K13" i="16"/>
  <c r="M20" i="16" l="1"/>
  <c r="M19" i="16" s="1"/>
  <c r="L45" i="16"/>
  <c r="L44" i="16" s="1"/>
  <c r="K35" i="16"/>
  <c r="K20" i="16"/>
  <c r="K19" i="16" s="1"/>
  <c r="M45" i="16"/>
  <c r="M44" i="16" s="1"/>
  <c r="L20" i="16"/>
  <c r="L19" i="16" s="1"/>
  <c r="L35" i="16"/>
  <c r="L32" i="16" s="1"/>
  <c r="L12" i="16" s="1"/>
  <c r="K45" i="16"/>
  <c r="K44" i="16" s="1"/>
  <c r="K32" i="16"/>
  <c r="K12" i="16" s="1"/>
  <c r="M35" i="16"/>
  <c r="M32" i="16" s="1"/>
  <c r="M12" i="16" s="1"/>
  <c r="L73" i="16"/>
  <c r="M73" i="16"/>
  <c r="K73" i="16"/>
  <c r="M70" i="16" l="1"/>
  <c r="M69" i="16" s="1"/>
  <c r="M63" i="16" s="1"/>
  <c r="L70" i="16"/>
  <c r="L69" i="16" s="1"/>
  <c r="L63" i="16" s="1"/>
  <c r="R7" i="15"/>
  <c r="S7" i="15" s="1"/>
  <c r="X7" i="15"/>
  <c r="AA7" i="15"/>
  <c r="R8" i="15"/>
  <c r="S8" i="15" s="1"/>
  <c r="X8" i="15"/>
  <c r="AA8" i="15"/>
  <c r="R9" i="15"/>
  <c r="S9" i="15" s="1"/>
  <c r="X9" i="15"/>
  <c r="AA9" i="15"/>
  <c r="R10" i="15"/>
  <c r="S10" i="15" s="1"/>
  <c r="X10" i="15"/>
  <c r="AA10" i="15"/>
  <c r="R11" i="15"/>
  <c r="S11" i="15" s="1"/>
  <c r="X11" i="15"/>
  <c r="AA11" i="15"/>
  <c r="R12" i="15"/>
  <c r="S12" i="15" s="1"/>
  <c r="X12" i="15"/>
  <c r="AA12" i="15"/>
  <c r="R13" i="15"/>
  <c r="S13" i="15" s="1"/>
  <c r="X13" i="15"/>
  <c r="AA13" i="15"/>
  <c r="C14" i="15"/>
  <c r="AA14" i="15" s="1"/>
  <c r="F14" i="15"/>
  <c r="G14" i="15"/>
  <c r="H14" i="15"/>
  <c r="I14" i="15"/>
  <c r="J14" i="15"/>
  <c r="K14" i="15"/>
  <c r="L14" i="15"/>
  <c r="M14" i="15"/>
  <c r="N14" i="15"/>
  <c r="O14" i="15"/>
  <c r="P14" i="15"/>
  <c r="Q14" i="15"/>
  <c r="S15" i="15"/>
  <c r="C17" i="15"/>
  <c r="C16" i="15" s="1"/>
  <c r="D17" i="15"/>
  <c r="E17" i="15"/>
  <c r="L93" i="16" l="1"/>
  <c r="M93" i="16"/>
  <c r="L94" i="16"/>
  <c r="H177" i="6" s="1"/>
  <c r="M94" i="16"/>
  <c r="I177" i="6" s="1"/>
  <c r="X14" i="15"/>
  <c r="G176" i="6"/>
  <c r="L176" i="6" s="1"/>
  <c r="E14" i="15"/>
  <c r="R14" i="15"/>
  <c r="S14" i="15" s="1"/>
  <c r="D14" i="15"/>
  <c r="H215" i="7" l="1"/>
  <c r="I178" i="6"/>
  <c r="E31" i="5"/>
  <c r="L92" i="16"/>
  <c r="L91" i="16" s="1"/>
  <c r="L62" i="16" s="1"/>
  <c r="M92" i="16"/>
  <c r="M91" i="16" s="1"/>
  <c r="M62" i="16" s="1"/>
  <c r="F31" i="5"/>
  <c r="E16" i="15"/>
  <c r="I176" i="6"/>
  <c r="D16" i="15"/>
  <c r="H176" i="6"/>
  <c r="B14" i="5"/>
  <c r="L96" i="16" l="1"/>
  <c r="E15" i="18" s="1"/>
  <c r="E14" i="18" s="1"/>
  <c r="E13" i="18" s="1"/>
  <c r="E12" i="18" s="1"/>
  <c r="M96" i="16"/>
  <c r="F15" i="18" l="1"/>
  <c r="F14" i="18" s="1"/>
  <c r="F13" i="18" s="1"/>
  <c r="F12" i="18" s="1"/>
  <c r="D7" i="8"/>
  <c r="H54" i="6" l="1"/>
  <c r="I54" i="6"/>
  <c r="F146" i="7" l="1"/>
  <c r="H99" i="6" l="1"/>
  <c r="H98" i="6" s="1"/>
  <c r="I99" i="6"/>
  <c r="I98" i="6" s="1"/>
  <c r="G99" i="6"/>
  <c r="G98" i="6" s="1"/>
  <c r="G29" i="6"/>
  <c r="I18" i="6"/>
  <c r="I57" i="6" l="1"/>
  <c r="I56" i="6" s="1"/>
  <c r="H191" i="7" s="1"/>
  <c r="H190" i="7" s="1"/>
  <c r="H189" i="7" s="1"/>
  <c r="H188" i="7" s="1"/>
  <c r="H187" i="7" s="1"/>
  <c r="H57" i="6"/>
  <c r="H56" i="6" s="1"/>
  <c r="G191" i="7" s="1"/>
  <c r="G190" i="7" s="1"/>
  <c r="G189" i="7" s="1"/>
  <c r="G188" i="7" s="1"/>
  <c r="G187" i="7" s="1"/>
  <c r="G57" i="6"/>
  <c r="G56" i="6" s="1"/>
  <c r="F191" i="7" s="1"/>
  <c r="F190" i="7" s="1"/>
  <c r="F189" i="7" s="1"/>
  <c r="F188" i="7" s="1"/>
  <c r="F187" i="7" s="1"/>
  <c r="H214" i="7" l="1"/>
  <c r="H213" i="7" s="1"/>
  <c r="H212" i="7" s="1"/>
  <c r="H211" i="7" s="1"/>
  <c r="G214" i="7"/>
  <c r="G213" i="7" s="1"/>
  <c r="G212" i="7" s="1"/>
  <c r="G211" i="7" s="1"/>
  <c r="H210" i="7"/>
  <c r="H209" i="7" s="1"/>
  <c r="H208" i="7" s="1"/>
  <c r="H207" i="7" s="1"/>
  <c r="G210" i="7"/>
  <c r="G209" i="7" s="1"/>
  <c r="G208" i="7" s="1"/>
  <c r="G207" i="7" s="1"/>
  <c r="F210" i="7"/>
  <c r="F209" i="7" s="1"/>
  <c r="F208" i="7" s="1"/>
  <c r="F207" i="7" s="1"/>
  <c r="H205" i="7"/>
  <c r="H204" i="7" s="1"/>
  <c r="H203" i="7" s="1"/>
  <c r="H202" i="7" s="1"/>
  <c r="G205" i="7"/>
  <c r="G204" i="7" s="1"/>
  <c r="G203" i="7" s="1"/>
  <c r="G202" i="7" s="1"/>
  <c r="F205" i="7"/>
  <c r="F204" i="7" s="1"/>
  <c r="F203" i="7" s="1"/>
  <c r="F202" i="7" s="1"/>
  <c r="H196" i="7"/>
  <c r="H195" i="7" s="1"/>
  <c r="H194" i="7" s="1"/>
  <c r="H193" i="7" s="1"/>
  <c r="H192" i="7" s="1"/>
  <c r="G196" i="7"/>
  <c r="G195" i="7" s="1"/>
  <c r="G194" i="7" s="1"/>
  <c r="G193" i="7" s="1"/>
  <c r="G192" i="7" s="1"/>
  <c r="F196" i="7"/>
  <c r="F195" i="7" s="1"/>
  <c r="F194" i="7" s="1"/>
  <c r="F193" i="7" s="1"/>
  <c r="F192" i="7" s="1"/>
  <c r="B192" i="7"/>
  <c r="H186" i="7"/>
  <c r="H185" i="7" s="1"/>
  <c r="H184" i="7" s="1"/>
  <c r="H183" i="7" s="1"/>
  <c r="H182" i="7" s="1"/>
  <c r="G186" i="7"/>
  <c r="G185" i="7" s="1"/>
  <c r="G184" i="7" s="1"/>
  <c r="G183" i="7" s="1"/>
  <c r="G182" i="7" s="1"/>
  <c r="F186" i="7"/>
  <c r="F185" i="7" s="1"/>
  <c r="F184" i="7" s="1"/>
  <c r="F183" i="7" s="1"/>
  <c r="F182" i="7" s="1"/>
  <c r="H180" i="7"/>
  <c r="H179" i="7" s="1"/>
  <c r="H178" i="7" s="1"/>
  <c r="H177" i="7" s="1"/>
  <c r="H176" i="7" s="1"/>
  <c r="H175" i="7" s="1"/>
  <c r="G180" i="7"/>
  <c r="G179" i="7" s="1"/>
  <c r="G178" i="7" s="1"/>
  <c r="G177" i="7" s="1"/>
  <c r="G176" i="7" s="1"/>
  <c r="G175" i="7" s="1"/>
  <c r="F180" i="7"/>
  <c r="F179" i="7" s="1"/>
  <c r="F178" i="7" s="1"/>
  <c r="F177" i="7" s="1"/>
  <c r="F176" i="7" s="1"/>
  <c r="F175" i="7" s="1"/>
  <c r="H164" i="7"/>
  <c r="H163" i="7" s="1"/>
  <c r="H162" i="7" s="1"/>
  <c r="H161" i="7" s="1"/>
  <c r="H160" i="7" s="1"/>
  <c r="G164" i="7"/>
  <c r="G163" i="7" s="1"/>
  <c r="G162" i="7" s="1"/>
  <c r="G161" i="7" s="1"/>
  <c r="G160" i="7" s="1"/>
  <c r="F164" i="7"/>
  <c r="F163" i="7" s="1"/>
  <c r="F162" i="7" s="1"/>
  <c r="F161" i="7" s="1"/>
  <c r="F160" i="7" s="1"/>
  <c r="H154" i="7"/>
  <c r="H153" i="7" s="1"/>
  <c r="H151" i="7" s="1"/>
  <c r="G154" i="7"/>
  <c r="G153" i="7" s="1"/>
  <c r="G151" i="7" s="1"/>
  <c r="H150" i="7"/>
  <c r="H149" i="7" s="1"/>
  <c r="H148" i="7" s="1"/>
  <c r="H147" i="7" s="1"/>
  <c r="G150" i="7"/>
  <c r="G149" i="7" s="1"/>
  <c r="G148" i="7" s="1"/>
  <c r="G147" i="7" s="1"/>
  <c r="H140" i="7"/>
  <c r="H139" i="7" s="1"/>
  <c r="H138" i="7" s="1"/>
  <c r="H137" i="7" s="1"/>
  <c r="H136" i="7" s="1"/>
  <c r="H135" i="7" s="1"/>
  <c r="G140" i="7"/>
  <c r="G139" i="7" s="1"/>
  <c r="G138" i="7" s="1"/>
  <c r="G137" i="7" s="1"/>
  <c r="G136" i="7" s="1"/>
  <c r="G135" i="7" s="1"/>
  <c r="F140" i="7"/>
  <c r="F139" i="7" s="1"/>
  <c r="F138" i="7" s="1"/>
  <c r="F137" i="7" s="1"/>
  <c r="F136" i="7" s="1"/>
  <c r="F135" i="7" s="1"/>
  <c r="H121" i="7"/>
  <c r="H120" i="7" s="1"/>
  <c r="H119" i="7" s="1"/>
  <c r="H118" i="7" s="1"/>
  <c r="H117" i="7" s="1"/>
  <c r="G121" i="7"/>
  <c r="G120" i="7" s="1"/>
  <c r="G119" i="7" s="1"/>
  <c r="G118" i="7" s="1"/>
  <c r="G117" i="7" s="1"/>
  <c r="H110" i="7"/>
  <c r="H109" i="7" s="1"/>
  <c r="H108" i="7" s="1"/>
  <c r="H107" i="7" s="1"/>
  <c r="H106" i="7" s="1"/>
  <c r="G110" i="7"/>
  <c r="G109" i="7" s="1"/>
  <c r="G108" i="7" s="1"/>
  <c r="G107" i="7" s="1"/>
  <c r="G106" i="7" s="1"/>
  <c r="H105" i="7"/>
  <c r="H104" i="7" s="1"/>
  <c r="H103" i="7" s="1"/>
  <c r="H102" i="7" s="1"/>
  <c r="H101" i="7" s="1"/>
  <c r="G105" i="7"/>
  <c r="G104" i="7" s="1"/>
  <c r="G103" i="7" s="1"/>
  <c r="G102" i="7" s="1"/>
  <c r="G101" i="7" s="1"/>
  <c r="F105" i="7"/>
  <c r="F104" i="7" s="1"/>
  <c r="F103" i="7" s="1"/>
  <c r="F102" i="7" s="1"/>
  <c r="F101" i="7" s="1"/>
  <c r="H79" i="7"/>
  <c r="H78" i="7" s="1"/>
  <c r="H77" i="7" s="1"/>
  <c r="H76" i="7" s="1"/>
  <c r="H75" i="7" s="1"/>
  <c r="G79" i="7"/>
  <c r="G78" i="7" s="1"/>
  <c r="G77" i="7" s="1"/>
  <c r="G76" i="7" s="1"/>
  <c r="G75" i="7" s="1"/>
  <c r="H73" i="7"/>
  <c r="H72" i="7" s="1"/>
  <c r="H71" i="7" s="1"/>
  <c r="H70" i="7" s="1"/>
  <c r="F73" i="7"/>
  <c r="F72" i="7" s="1"/>
  <c r="F71" i="7" s="1"/>
  <c r="F70" i="7" s="1"/>
  <c r="F21" i="7" s="1"/>
  <c r="G73" i="7"/>
  <c r="G72" i="7" s="1"/>
  <c r="G71" i="7" s="1"/>
  <c r="G70" i="7" s="1"/>
  <c r="F64" i="7"/>
  <c r="F63" i="7" s="1"/>
  <c r="F62" i="7" s="1"/>
  <c r="F61" i="7" s="1"/>
  <c r="F60" i="7" s="1"/>
  <c r="H59" i="7"/>
  <c r="H58" i="7" s="1"/>
  <c r="H57" i="7" s="1"/>
  <c r="H56" i="7" s="1"/>
  <c r="H55" i="7" s="1"/>
  <c r="G59" i="7"/>
  <c r="G58" i="7" s="1"/>
  <c r="G57" i="7" s="1"/>
  <c r="G56" i="7" s="1"/>
  <c r="G55" i="7" s="1"/>
  <c r="F59" i="7"/>
  <c r="F58" i="7" s="1"/>
  <c r="F57" i="7" s="1"/>
  <c r="F56" i="7" s="1"/>
  <c r="F55" i="7" s="1"/>
  <c r="H54" i="7"/>
  <c r="H53" i="7" s="1"/>
  <c r="H52" i="7" s="1"/>
  <c r="H51" i="7" s="1"/>
  <c r="H50" i="7" s="1"/>
  <c r="G54" i="7"/>
  <c r="G53" i="7" s="1"/>
  <c r="G52" i="7" s="1"/>
  <c r="G51" i="7" s="1"/>
  <c r="G50" i="7" s="1"/>
  <c r="F54" i="7"/>
  <c r="F53" i="7" s="1"/>
  <c r="F52" i="7" s="1"/>
  <c r="F51" i="7" s="1"/>
  <c r="F50" i="7" s="1"/>
  <c r="H49" i="7"/>
  <c r="H48" i="7" s="1"/>
  <c r="H47" i="7" s="1"/>
  <c r="H46" i="7" s="1"/>
  <c r="G49" i="7"/>
  <c r="G48" i="7" s="1"/>
  <c r="G47" i="7" s="1"/>
  <c r="G46" i="7" s="1"/>
  <c r="F49" i="7"/>
  <c r="F48" i="7" s="1"/>
  <c r="F47" i="7" s="1"/>
  <c r="F46" i="7" s="1"/>
  <c r="H45" i="7"/>
  <c r="H44" i="7" s="1"/>
  <c r="H43" i="7" s="1"/>
  <c r="H42" i="7" s="1"/>
  <c r="G45" i="7"/>
  <c r="G44" i="7" s="1"/>
  <c r="G43" i="7" s="1"/>
  <c r="G42" i="7" s="1"/>
  <c r="H40" i="7"/>
  <c r="H39" i="7" s="1"/>
  <c r="H38" i="7" s="1"/>
  <c r="H37" i="7" s="1"/>
  <c r="H36" i="7" s="1"/>
  <c r="G40" i="7"/>
  <c r="G39" i="7" s="1"/>
  <c r="G38" i="7" s="1"/>
  <c r="G37" i="7" s="1"/>
  <c r="G36" i="7" s="1"/>
  <c r="F40" i="7"/>
  <c r="F39" i="7" s="1"/>
  <c r="F38" i="7" s="1"/>
  <c r="F37" i="7" s="1"/>
  <c r="F36" i="7" s="1"/>
  <c r="H35" i="7"/>
  <c r="H34" i="7" s="1"/>
  <c r="H33" i="7" s="1"/>
  <c r="H32" i="7" s="1"/>
  <c r="G35" i="7"/>
  <c r="G34" i="7" s="1"/>
  <c r="G33" i="7" s="1"/>
  <c r="G32" i="7" s="1"/>
  <c r="F35" i="7"/>
  <c r="F34" i="7" s="1"/>
  <c r="F33" i="7" s="1"/>
  <c r="F32" i="7" s="1"/>
  <c r="F31" i="7"/>
  <c r="F30" i="7" s="1"/>
  <c r="F29" i="7" s="1"/>
  <c r="F28" i="7" s="1"/>
  <c r="H16" i="7"/>
  <c r="H15" i="7" s="1"/>
  <c r="H14" i="7" s="1"/>
  <c r="H13" i="7" s="1"/>
  <c r="G16" i="7"/>
  <c r="G15" i="7" s="1"/>
  <c r="G14" i="7" s="1"/>
  <c r="G13" i="7" s="1"/>
  <c r="F16" i="7"/>
  <c r="F15" i="7" s="1"/>
  <c r="F14" i="7" s="1"/>
  <c r="F13" i="7" s="1"/>
  <c r="F110" i="7"/>
  <c r="F109" i="7" s="1"/>
  <c r="F108" i="7" s="1"/>
  <c r="F107" i="7" s="1"/>
  <c r="F106" i="7" s="1"/>
  <c r="F100" i="7" s="1"/>
  <c r="I168" i="6"/>
  <c r="I167" i="6" s="1"/>
  <c r="I166" i="6" s="1"/>
  <c r="I165" i="6" s="1"/>
  <c r="I164" i="6" s="1"/>
  <c r="H168" i="6"/>
  <c r="H167" i="6" s="1"/>
  <c r="H166" i="6" s="1"/>
  <c r="H165" i="6" s="1"/>
  <c r="H164" i="6" s="1"/>
  <c r="G168" i="6"/>
  <c r="G167" i="6" s="1"/>
  <c r="G166" i="6" s="1"/>
  <c r="G165" i="6" s="1"/>
  <c r="G164" i="6" s="1"/>
  <c r="I161" i="6"/>
  <c r="I160" i="6" s="1"/>
  <c r="I159" i="6" s="1"/>
  <c r="H161" i="6"/>
  <c r="H160" i="6" s="1"/>
  <c r="H159" i="6" s="1"/>
  <c r="G161" i="6"/>
  <c r="G160" i="6" s="1"/>
  <c r="G159" i="6" s="1"/>
  <c r="G158" i="6" s="1"/>
  <c r="G157" i="6" s="1"/>
  <c r="F79" i="7"/>
  <c r="F78" i="7" s="1"/>
  <c r="F77" i="7" s="1"/>
  <c r="F76" i="7" s="1"/>
  <c r="F75" i="7" s="1"/>
  <c r="I137" i="6"/>
  <c r="I136" i="6" s="1"/>
  <c r="H137" i="6"/>
  <c r="H136" i="6" s="1"/>
  <c r="G137" i="6"/>
  <c r="G136" i="6" s="1"/>
  <c r="I134" i="6"/>
  <c r="I133" i="6" s="1"/>
  <c r="H134" i="6"/>
  <c r="H133" i="6" s="1"/>
  <c r="G134" i="6"/>
  <c r="G133" i="6" s="1"/>
  <c r="I131" i="6"/>
  <c r="H131" i="6"/>
  <c r="G131" i="6"/>
  <c r="F45" i="7"/>
  <c r="F44" i="7" s="1"/>
  <c r="F43" i="7" s="1"/>
  <c r="F42" i="7" s="1"/>
  <c r="I129" i="6"/>
  <c r="H129" i="6"/>
  <c r="G129" i="6"/>
  <c r="G128" i="6" s="1"/>
  <c r="I126" i="6"/>
  <c r="I125" i="6" s="1"/>
  <c r="H126" i="6"/>
  <c r="H125" i="6" s="1"/>
  <c r="G126" i="6"/>
  <c r="G125" i="6" s="1"/>
  <c r="I123" i="6"/>
  <c r="H123" i="6"/>
  <c r="G123" i="6"/>
  <c r="G31" i="7"/>
  <c r="G30" i="7" s="1"/>
  <c r="G29" i="7" s="1"/>
  <c r="G28" i="7" s="1"/>
  <c r="H121" i="6"/>
  <c r="G121" i="6"/>
  <c r="I112" i="6"/>
  <c r="I111" i="6" s="1"/>
  <c r="I110" i="6" s="1"/>
  <c r="I109" i="6" s="1"/>
  <c r="I108" i="6" s="1"/>
  <c r="H112" i="6"/>
  <c r="H111" i="6" s="1"/>
  <c r="H110" i="6" s="1"/>
  <c r="H109" i="6" s="1"/>
  <c r="H108" i="6" s="1"/>
  <c r="G112" i="6"/>
  <c r="G111" i="6" s="1"/>
  <c r="G110" i="6" s="1"/>
  <c r="G109" i="6" s="1"/>
  <c r="G108" i="6" s="1"/>
  <c r="F121" i="7"/>
  <c r="F120" i="7" s="1"/>
  <c r="F119" i="7" s="1"/>
  <c r="F118" i="7" s="1"/>
  <c r="F117" i="7" s="1"/>
  <c r="I105" i="6"/>
  <c r="I104" i="6" s="1"/>
  <c r="I103" i="6" s="1"/>
  <c r="I102" i="6" s="1"/>
  <c r="I101" i="6" s="1"/>
  <c r="F21" i="5" s="1"/>
  <c r="H105" i="6"/>
  <c r="H104" i="6" s="1"/>
  <c r="H103" i="6" s="1"/>
  <c r="H102" i="6" s="1"/>
  <c r="H101" i="6" s="1"/>
  <c r="E21" i="5" s="1"/>
  <c r="G105" i="6"/>
  <c r="G104" i="6" s="1"/>
  <c r="G103" i="6" s="1"/>
  <c r="G102" i="6" s="1"/>
  <c r="G101" i="6" s="1"/>
  <c r="D21" i="5" s="1"/>
  <c r="H64" i="7"/>
  <c r="H63" i="7" s="1"/>
  <c r="H62" i="7" s="1"/>
  <c r="H61" i="7" s="1"/>
  <c r="H60" i="7" s="1"/>
  <c r="G64" i="7"/>
  <c r="G63" i="7" s="1"/>
  <c r="G62" i="7" s="1"/>
  <c r="G61" i="7" s="1"/>
  <c r="G60" i="7" s="1"/>
  <c r="G21" i="7" s="1"/>
  <c r="I90" i="6"/>
  <c r="I89" i="6" s="1"/>
  <c r="I88" i="6" s="1"/>
  <c r="H90" i="6"/>
  <c r="H89" i="6" s="1"/>
  <c r="H88" i="6" s="1"/>
  <c r="G90" i="6"/>
  <c r="G89" i="6" s="1"/>
  <c r="G88" i="6" s="1"/>
  <c r="I81" i="6"/>
  <c r="I80" i="6" s="1"/>
  <c r="H81" i="6"/>
  <c r="H80" i="6" s="1"/>
  <c r="I74" i="6"/>
  <c r="H74" i="6"/>
  <c r="G74" i="6"/>
  <c r="I72" i="6"/>
  <c r="H72" i="6"/>
  <c r="G72" i="6"/>
  <c r="F201" i="7" s="1"/>
  <c r="F200" i="7" s="1"/>
  <c r="F199" i="7" s="1"/>
  <c r="F198" i="7" s="1"/>
  <c r="F214" i="7"/>
  <c r="F213" i="7" s="1"/>
  <c r="F212" i="7" s="1"/>
  <c r="F211" i="7" s="1"/>
  <c r="I65" i="6"/>
  <c r="H65" i="6"/>
  <c r="I63" i="6"/>
  <c r="H63" i="6"/>
  <c r="G63" i="6"/>
  <c r="I60" i="6"/>
  <c r="I59" i="6" s="1"/>
  <c r="H60" i="6"/>
  <c r="H59" i="6" s="1"/>
  <c r="G60" i="6"/>
  <c r="G59" i="6" s="1"/>
  <c r="I53" i="6"/>
  <c r="H53" i="6"/>
  <c r="G54" i="6"/>
  <c r="G53" i="6" s="1"/>
  <c r="I48" i="6"/>
  <c r="I47" i="6" s="1"/>
  <c r="I45" i="6" s="1"/>
  <c r="I44" i="6" s="1"/>
  <c r="F13" i="5" s="1"/>
  <c r="H48" i="6"/>
  <c r="H47" i="6" s="1"/>
  <c r="H45" i="6" s="1"/>
  <c r="H44" i="6" s="1"/>
  <c r="E13" i="5" s="1"/>
  <c r="G48" i="6"/>
  <c r="G47" i="6" s="1"/>
  <c r="F154" i="7"/>
  <c r="F152" i="7" s="1"/>
  <c r="I33" i="6"/>
  <c r="H33" i="6"/>
  <c r="G33" i="6"/>
  <c r="F150" i="7"/>
  <c r="F149" i="7" s="1"/>
  <c r="F148" i="7" s="1"/>
  <c r="F147" i="7" s="1"/>
  <c r="I31" i="6"/>
  <c r="H31" i="6"/>
  <c r="G31" i="6"/>
  <c r="G28" i="6" s="1"/>
  <c r="G27" i="6" s="1"/>
  <c r="H146" i="7"/>
  <c r="H145" i="7" s="1"/>
  <c r="H144" i="7" s="1"/>
  <c r="H143" i="7" s="1"/>
  <c r="G146" i="7"/>
  <c r="G145" i="7" s="1"/>
  <c r="G144" i="7" s="1"/>
  <c r="G143" i="7" s="1"/>
  <c r="F145" i="7"/>
  <c r="I29" i="6"/>
  <c r="I23" i="6"/>
  <c r="I22" i="6" s="1"/>
  <c r="I21" i="6" s="1"/>
  <c r="I20" i="6" s="1"/>
  <c r="I19" i="6" s="1"/>
  <c r="F11" i="5" s="1"/>
  <c r="H23" i="6"/>
  <c r="H22" i="6" s="1"/>
  <c r="H21" i="6" s="1"/>
  <c r="H20" i="6" s="1"/>
  <c r="H19" i="6" s="1"/>
  <c r="E11" i="5" s="1"/>
  <c r="G23" i="6"/>
  <c r="G22" i="6" s="1"/>
  <c r="G21" i="6" s="1"/>
  <c r="G20" i="6" s="1"/>
  <c r="G19" i="6" s="1"/>
  <c r="D11" i="5" s="1"/>
  <c r="I17" i="6"/>
  <c r="I16" i="6" s="1"/>
  <c r="I15" i="6" s="1"/>
  <c r="I14" i="6" s="1"/>
  <c r="I13" i="6" s="1"/>
  <c r="H17" i="6"/>
  <c r="H16" i="6" s="1"/>
  <c r="H15" i="6" s="1"/>
  <c r="H14" i="6" s="1"/>
  <c r="H13" i="6" s="1"/>
  <c r="G17" i="6"/>
  <c r="G16" i="6" s="1"/>
  <c r="G15" i="6" s="1"/>
  <c r="G14" i="6" s="1"/>
  <c r="G13" i="6" s="1"/>
  <c r="F35" i="5"/>
  <c r="E35" i="5"/>
  <c r="G100" i="7" l="1"/>
  <c r="H100" i="7"/>
  <c r="F12" i="7"/>
  <c r="F11" i="7" s="1"/>
  <c r="H12" i="7"/>
  <c r="H11" i="7" s="1"/>
  <c r="G12" i="7"/>
  <c r="G11" i="7" s="1"/>
  <c r="H158" i="6"/>
  <c r="H157" i="6" s="1"/>
  <c r="H156" i="6" s="1"/>
  <c r="I158" i="6"/>
  <c r="I157" i="6" s="1"/>
  <c r="F26" i="5" s="1"/>
  <c r="F25" i="5" s="1"/>
  <c r="G45" i="6"/>
  <c r="G44" i="6" s="1"/>
  <c r="D13" i="5" s="1"/>
  <c r="F144" i="7"/>
  <c r="F143" i="7" s="1"/>
  <c r="F142" i="7" s="1"/>
  <c r="F141" i="7" s="1"/>
  <c r="I28" i="6"/>
  <c r="I27" i="6" s="1"/>
  <c r="H128" i="6"/>
  <c r="H41" i="7"/>
  <c r="G27" i="7"/>
  <c r="G41" i="7"/>
  <c r="I46" i="6"/>
  <c r="H87" i="6"/>
  <c r="H86" i="6" s="1"/>
  <c r="G120" i="6"/>
  <c r="G116" i="6" s="1"/>
  <c r="G87" i="6"/>
  <c r="G86" i="6" s="1"/>
  <c r="I87" i="6"/>
  <c r="I86" i="6" s="1"/>
  <c r="I128" i="6"/>
  <c r="G46" i="6"/>
  <c r="F206" i="7"/>
  <c r="H120" i="6"/>
  <c r="H116" i="6" s="1"/>
  <c r="H201" i="7"/>
  <c r="H200" i="7" s="1"/>
  <c r="H199" i="7" s="1"/>
  <c r="H198" i="7" s="1"/>
  <c r="H197" i="7" s="1"/>
  <c r="I71" i="6"/>
  <c r="I70" i="6" s="1"/>
  <c r="G201" i="7"/>
  <c r="G200" i="7" s="1"/>
  <c r="G199" i="7" s="1"/>
  <c r="G198" i="7" s="1"/>
  <c r="G197" i="7" s="1"/>
  <c r="H71" i="6"/>
  <c r="I62" i="6"/>
  <c r="I52" i="6" s="1"/>
  <c r="I51" i="6" s="1"/>
  <c r="I50" i="6" s="1"/>
  <c r="F14" i="5" s="1"/>
  <c r="H62" i="6"/>
  <c r="H52" i="6" s="1"/>
  <c r="H51" i="6" s="1"/>
  <c r="H50" i="6" s="1"/>
  <c r="E14" i="5" s="1"/>
  <c r="F197" i="7"/>
  <c r="F41" i="7"/>
  <c r="G152" i="7"/>
  <c r="G142" i="7"/>
  <c r="G141" i="7" s="1"/>
  <c r="H152" i="7"/>
  <c r="F27" i="7"/>
  <c r="G206" i="7"/>
  <c r="H46" i="6"/>
  <c r="H142" i="7"/>
  <c r="H141" i="7" s="1"/>
  <c r="E10" i="5"/>
  <c r="F23" i="5"/>
  <c r="E23" i="5"/>
  <c r="H163" i="6"/>
  <c r="E28" i="5"/>
  <c r="E27" i="5" s="1"/>
  <c r="D10" i="5"/>
  <c r="F10" i="5"/>
  <c r="D23" i="5"/>
  <c r="D26" i="5"/>
  <c r="D25" i="5" s="1"/>
  <c r="G156" i="6"/>
  <c r="D28" i="5"/>
  <c r="D27" i="5" s="1"/>
  <c r="G163" i="6"/>
  <c r="F28" i="5"/>
  <c r="F27" i="5" s="1"/>
  <c r="I163" i="6"/>
  <c r="H29" i="6"/>
  <c r="F153" i="7"/>
  <c r="F151" i="7" s="1"/>
  <c r="G65" i="6"/>
  <c r="G62" i="6" s="1"/>
  <c r="G52" i="6" s="1"/>
  <c r="G51" i="6" s="1"/>
  <c r="G50" i="6" s="1"/>
  <c r="D14" i="5" s="1"/>
  <c r="G71" i="6"/>
  <c r="H206" i="7"/>
  <c r="I156" i="6" l="1"/>
  <c r="I26" i="6"/>
  <c r="I25" i="6" s="1"/>
  <c r="H79" i="6"/>
  <c r="H78" i="6" s="1"/>
  <c r="H77" i="6" s="1"/>
  <c r="G79" i="6"/>
  <c r="G78" i="6" s="1"/>
  <c r="G77" i="6" s="1"/>
  <c r="I79" i="6"/>
  <c r="I78" i="6" s="1"/>
  <c r="I77" i="6" s="1"/>
  <c r="E26" i="5"/>
  <c r="E25" i="5" s="1"/>
  <c r="H115" i="6"/>
  <c r="G181" i="7"/>
  <c r="G134" i="7" s="1"/>
  <c r="F181" i="7"/>
  <c r="F134" i="7" s="1"/>
  <c r="E20" i="5"/>
  <c r="E19" i="5" s="1"/>
  <c r="H181" i="7"/>
  <c r="H134" i="7" s="1"/>
  <c r="D20" i="5"/>
  <c r="D19" i="5" s="1"/>
  <c r="D32" i="5" s="1"/>
  <c r="G115" i="6"/>
  <c r="G114" i="6" s="1"/>
  <c r="H28" i="6"/>
  <c r="H27" i="6" s="1"/>
  <c r="F20" i="5"/>
  <c r="F19" i="5" s="1"/>
  <c r="G26" i="6"/>
  <c r="G25" i="6" s="1"/>
  <c r="G12" i="6" s="1"/>
  <c r="I69" i="6"/>
  <c r="I68" i="6" s="1"/>
  <c r="F16" i="5" s="1"/>
  <c r="F15" i="5" s="1"/>
  <c r="H70" i="6"/>
  <c r="H69" i="6"/>
  <c r="H68" i="6" s="1"/>
  <c r="H31" i="7"/>
  <c r="H30" i="7" s="1"/>
  <c r="H29" i="7" s="1"/>
  <c r="H28" i="7" s="1"/>
  <c r="H27" i="7" s="1"/>
  <c r="I121" i="6"/>
  <c r="I120" i="6" s="1"/>
  <c r="I116" i="6" s="1"/>
  <c r="G70" i="6"/>
  <c r="G69" i="6"/>
  <c r="G68" i="6" s="1"/>
  <c r="H114" i="6" l="1"/>
  <c r="E24" i="5" s="1"/>
  <c r="E22" i="5" s="1"/>
  <c r="F12" i="5"/>
  <c r="F9" i="5" s="1"/>
  <c r="I12" i="6"/>
  <c r="H26" i="6"/>
  <c r="H25" i="6" s="1"/>
  <c r="H12" i="6" s="1"/>
  <c r="I76" i="6"/>
  <c r="F18" i="5"/>
  <c r="F17" i="5" s="1"/>
  <c r="H76" i="6"/>
  <c r="E18" i="5"/>
  <c r="E17" i="5" s="1"/>
  <c r="G76" i="6"/>
  <c r="D18" i="5"/>
  <c r="D17" i="5" s="1"/>
  <c r="G107" i="6"/>
  <c r="G175" i="6"/>
  <c r="G174" i="6" s="1"/>
  <c r="G173" i="6" s="1"/>
  <c r="G172" i="6" s="1"/>
  <c r="G171" i="6" s="1"/>
  <c r="G170" i="6" s="1"/>
  <c r="F116" i="7"/>
  <c r="F115" i="7" s="1"/>
  <c r="F114" i="7" s="1"/>
  <c r="F113" i="7" s="1"/>
  <c r="F112" i="7" s="1"/>
  <c r="F111" i="7" s="1"/>
  <c r="F10" i="7" s="1"/>
  <c r="F216" i="7" s="1"/>
  <c r="I67" i="6"/>
  <c r="D12" i="5"/>
  <c r="D9" i="5" s="1"/>
  <c r="H85" i="6"/>
  <c r="I85" i="6"/>
  <c r="I115" i="6"/>
  <c r="I114" i="6" s="1"/>
  <c r="G85" i="6"/>
  <c r="G178" i="6" s="1"/>
  <c r="H67" i="6"/>
  <c r="E16" i="5"/>
  <c r="E15" i="5" s="1"/>
  <c r="G67" i="6"/>
  <c r="D16" i="5"/>
  <c r="D15" i="5" s="1"/>
  <c r="H178" i="6" l="1"/>
  <c r="F221" i="7"/>
  <c r="G187" i="6"/>
  <c r="H107" i="6"/>
  <c r="D24" i="5"/>
  <c r="D22" i="5" s="1"/>
  <c r="E12" i="5"/>
  <c r="E9" i="5" s="1"/>
  <c r="E32" i="5" s="1"/>
  <c r="D30" i="5"/>
  <c r="D29" i="5" s="1"/>
  <c r="H116" i="7"/>
  <c r="H115" i="7" s="1"/>
  <c r="H114" i="7" s="1"/>
  <c r="H113" i="7" s="1"/>
  <c r="H112" i="7" s="1"/>
  <c r="H111" i="7" s="1"/>
  <c r="H10" i="7" s="1"/>
  <c r="H216" i="7" s="1"/>
  <c r="H222" i="7" s="1"/>
  <c r="I175" i="6"/>
  <c r="I174" i="6" s="1"/>
  <c r="I173" i="6" s="1"/>
  <c r="I172" i="6" s="1"/>
  <c r="I171" i="6" s="1"/>
  <c r="G116" i="7"/>
  <c r="G115" i="7" s="1"/>
  <c r="G114" i="7" s="1"/>
  <c r="G113" i="7" s="1"/>
  <c r="G112" i="7" s="1"/>
  <c r="G111" i="7" s="1"/>
  <c r="G10" i="7" s="1"/>
  <c r="H175" i="6"/>
  <c r="H174" i="6" s="1"/>
  <c r="H173" i="6" s="1"/>
  <c r="H172" i="6" s="1"/>
  <c r="H171" i="6" s="1"/>
  <c r="I107" i="6"/>
  <c r="F24" i="5"/>
  <c r="F22" i="5" s="1"/>
  <c r="D19" i="18" l="1"/>
  <c r="D18" i="18" s="1"/>
  <c r="D17" i="18" s="1"/>
  <c r="D16" i="18" s="1"/>
  <c r="E30" i="5"/>
  <c r="E29" i="5" s="1"/>
  <c r="H170" i="6"/>
  <c r="H186" i="6" s="1"/>
  <c r="H188" i="6" s="1"/>
  <c r="I170" i="6"/>
  <c r="I186" i="6" s="1"/>
  <c r="F30" i="5"/>
  <c r="F29" i="5" s="1"/>
  <c r="F217" i="7"/>
  <c r="F218" i="7" s="1"/>
  <c r="D33" i="5"/>
  <c r="G11" i="6"/>
  <c r="D34" i="5" l="1"/>
  <c r="I179" i="6"/>
  <c r="F19" i="18"/>
  <c r="F18" i="18" s="1"/>
  <c r="F17" i="18" s="1"/>
  <c r="F16" i="18" s="1"/>
  <c r="F11" i="18" s="1"/>
  <c r="F10" i="18" s="1"/>
  <c r="F26" i="18" s="1"/>
  <c r="F37" i="5"/>
  <c r="F36" i="5"/>
  <c r="I11" i="6"/>
  <c r="F33" i="5"/>
  <c r="H217" i="7"/>
  <c r="H218" i="7" s="1"/>
  <c r="F34" i="5" l="1"/>
  <c r="G215" i="7"/>
  <c r="G216" i="7" s="1"/>
  <c r="G221" i="7" s="1"/>
  <c r="E36" i="5"/>
  <c r="H179" i="6" l="1"/>
  <c r="E19" i="18"/>
  <c r="E18" i="18" s="1"/>
  <c r="E17" i="18" s="1"/>
  <c r="E16" i="18" s="1"/>
  <c r="E11" i="18" s="1"/>
  <c r="E10" i="18" s="1"/>
  <c r="E26" i="18" s="1"/>
  <c r="H11" i="6"/>
  <c r="G217" i="7"/>
  <c r="G218" i="7" s="1"/>
  <c r="E33" i="5"/>
  <c r="E34" i="5" s="1"/>
  <c r="E37" i="5"/>
  <c r="K70" i="16" l="1"/>
  <c r="K69" i="16" s="1"/>
  <c r="K63" i="16" s="1"/>
  <c r="K62" i="16" l="1"/>
  <c r="K96" i="16" s="1"/>
  <c r="D15" i="18" l="1"/>
  <c r="D14" i="18" s="1"/>
  <c r="D13" i="18" s="1"/>
  <c r="D12" i="18" s="1"/>
  <c r="D11" i="18" s="1"/>
  <c r="D10" i="18" s="1"/>
  <c r="D26" i="18" s="1"/>
  <c r="G179" i="6"/>
</calcChain>
</file>

<file path=xl/sharedStrings.xml><?xml version="1.0" encoding="utf-8"?>
<sst xmlns="http://schemas.openxmlformats.org/spreadsheetml/2006/main" count="2636" uniqueCount="659">
  <si>
    <t>к решению Совета депутатов</t>
  </si>
  <si>
    <t>№ строки</t>
  </si>
  <si>
    <t>Код классификации доходов бюджета</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</si>
  <si>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</si>
  <si>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</si>
  <si>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810</t>
  </si>
  <si>
    <t>№ п/п</t>
  </si>
  <si>
    <t>Наименование показателей</t>
  </si>
  <si>
    <t>2021 год</t>
  </si>
  <si>
    <t>январь</t>
  </si>
  <si>
    <t>февраль</t>
  </si>
  <si>
    <t>март</t>
  </si>
  <si>
    <t>апрель</t>
  </si>
  <si>
    <t>май</t>
  </si>
  <si>
    <t>июнь</t>
  </si>
  <si>
    <t>июль</t>
  </si>
  <si>
    <t>август</t>
  </si>
  <si>
    <t>сентябрь</t>
  </si>
  <si>
    <t>октябрь</t>
  </si>
  <si>
    <t>ноябрь</t>
  </si>
  <si>
    <t>декабрь</t>
  </si>
  <si>
    <t>№ пункта</t>
  </si>
  <si>
    <t>КОД</t>
  </si>
  <si>
    <t>2 02 4014 05 9993 151</t>
  </si>
  <si>
    <t>2 02 4014 05 9995 151</t>
  </si>
  <si>
    <t>2 02 4014 05 9996 151</t>
  </si>
  <si>
    <t>2 02 40014 05 9997 151</t>
  </si>
  <si>
    <t>2 02 40014 05 9998 151</t>
  </si>
  <si>
    <t>2 02 40014 05 9999 151</t>
  </si>
  <si>
    <t>ИТОГО</t>
  </si>
  <si>
    <t>2022 год</t>
  </si>
  <si>
    <t>Приложение 1</t>
  </si>
  <si>
    <t>810 01 00 00 00 00 0000 000</t>
  </si>
  <si>
    <t>Источники внутреннего финансирования дефицитов бюджетов</t>
  </si>
  <si>
    <t>810 01 05 00 00 00 0000 000</t>
  </si>
  <si>
    <t>810 01 05 00 00 00 0000 500</t>
  </si>
  <si>
    <t>Увеличение остатков средств бюджета</t>
  </si>
  <si>
    <t>810 01 05 02 00 00 0000 500</t>
  </si>
  <si>
    <t>810 01 05 02 01 00 0000 510</t>
  </si>
  <si>
    <t>Увеличение прочих остатков денежных средств бюджетов</t>
  </si>
  <si>
    <t>810 01 05 02 01 10 0000 510</t>
  </si>
  <si>
    <t>810 01 05 00 00 00 0000 600</t>
  </si>
  <si>
    <t>Уменьшение остатков средств бюджетов</t>
  </si>
  <si>
    <t>810 01 05 02 00 00 0000 600</t>
  </si>
  <si>
    <t>Уменьшение прочих остатков средств бюджетов</t>
  </si>
  <si>
    <t>810 01 05 02 01 00 0000 610</t>
  </si>
  <si>
    <t>Уменьшение прочих  остатков денежных средств бюджетов</t>
  </si>
  <si>
    <t>810 01 05 02 01 10 0000 610</t>
  </si>
  <si>
    <t>810 01 03 00 00 00 0000 000</t>
  </si>
  <si>
    <t>810 01 03 01 00 00 0000 000</t>
  </si>
  <si>
    <t>810 01 03 01 00 00 0000 700</t>
  </si>
  <si>
    <t>810 01 03 01 00 10 0000 710</t>
  </si>
  <si>
    <t>810 01 03 01 00 00 0000 800</t>
  </si>
  <si>
    <t>810 01 03 01 00 10 0000 810</t>
  </si>
  <si>
    <t>Код</t>
  </si>
  <si>
    <t>2</t>
  </si>
  <si>
    <t>3</t>
  </si>
  <si>
    <t>1</t>
  </si>
  <si>
    <t>4</t>
  </si>
  <si>
    <t>Увеличение прочих остатков средств бюджетов</t>
  </si>
  <si>
    <t>5</t>
  </si>
  <si>
    <t>6</t>
  </si>
  <si>
    <t>7</t>
  </si>
  <si>
    <t>8</t>
  </si>
  <si>
    <t>9</t>
  </si>
  <si>
    <t>10</t>
  </si>
  <si>
    <t xml:space="preserve">Приложение 5 </t>
  </si>
  <si>
    <t>(рублей)</t>
  </si>
  <si>
    <t>№
 строки</t>
  </si>
  <si>
    <t>Наименование главных распорядителей и наименование показателей бюджетной классификации</t>
  </si>
  <si>
    <t>Раздел-подраздел</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</si>
  <si>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</si>
  <si>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</si>
  <si>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</si>
  <si>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</si>
  <si>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</si>
  <si>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</si>
  <si>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</si>
  <si>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</si>
  <si>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Резервные фонды</t>
  </si>
  <si>
    <t>0111</t>
  </si>
  <si>
    <t>Другие общегосударственные вопросы</t>
  </si>
  <si>
    <t>0113</t>
  </si>
  <si>
    <t xml:space="preserve">Национальная оборона  </t>
  </si>
  <si>
    <t>0200</t>
  </si>
  <si>
    <t>Мобилизационная и вневойсковая подготовка</t>
  </si>
  <si>
    <t>0203</t>
  </si>
  <si>
    <t>Национальная безопасность и правоохранительная деятельность</t>
  </si>
  <si>
    <t>0300</t>
  </si>
  <si>
    <t>0310</t>
  </si>
  <si>
    <t>Национальная экономика</t>
  </si>
  <si>
    <t>0400</t>
  </si>
  <si>
    <t>Дорожное хозяйство (дорожные фонды)</t>
  </si>
  <si>
    <t>0409</t>
  </si>
  <si>
    <t>Другие вопросы в области национальной экономики</t>
  </si>
  <si>
    <t>0412</t>
  </si>
  <si>
    <t>Жилищно-коммунальное хозяйство</t>
  </si>
  <si>
    <t>0500</t>
  </si>
  <si>
    <t>Коммунальное хозяйство</t>
  </si>
  <si>
    <t>0502</t>
  </si>
  <si>
    <t>Благоустройство</t>
  </si>
  <si>
    <t>0503</t>
  </si>
  <si>
    <t>Образование</t>
  </si>
  <si>
    <t>0700</t>
  </si>
  <si>
    <t>Молодежная политика и оздоровление детей</t>
  </si>
  <si>
    <t>0707</t>
  </si>
  <si>
    <t>Культура, кинематография</t>
  </si>
  <si>
    <t>0800</t>
  </si>
  <si>
    <t xml:space="preserve">Культура </t>
  </si>
  <si>
    <t>0801</t>
  </si>
  <si>
    <t>1400</t>
  </si>
  <si>
    <t>Прочие межбюджетные трансферты общего характера</t>
  </si>
  <si>
    <t>1403</t>
  </si>
  <si>
    <t>Условно утвержденные расходы</t>
  </si>
  <si>
    <t>ВСЕГО РАСХОДОВ</t>
  </si>
  <si>
    <t>Приложение 6</t>
  </si>
  <si>
    <t>Код 
ведомства</t>
  </si>
  <si>
    <t>Целевая статья</t>
  </si>
  <si>
    <t>Вид расходов</t>
  </si>
  <si>
    <t>АДМИНИСТРАЦИЯ ГОРОДОКСКОГО СЕЛЬСОВЕТА МИНУСИНСКОГО РАЙОНА КРАСНОЯРСКОГО КРАЯ</t>
  </si>
  <si>
    <t>ОБЩЕГОСУДАРСТВЕННЫЕ ВОПРОСЫ</t>
  </si>
  <si>
    <t>Непрограммные расходы сельсовета</t>
  </si>
  <si>
    <t>1900000000</t>
  </si>
  <si>
    <t>Функционирование администрации сельсовета в рамках непрограммных расходов сельсовета</t>
  </si>
  <si>
    <t>1920000000</t>
  </si>
  <si>
    <t>Глава муниципального образования в рамках непрограммных расходов сельсовета</t>
  </si>
  <si>
    <t>1920000200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</si>
  <si>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</si>
  <si>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100</t>
  </si>
  <si>
    <t>Расходы на выплаты персоналу государственных (муниципальных) органов</t>
  </si>
  <si>
    <t>120</t>
  </si>
  <si>
    <t>Функционирование законодательных(представительных) органов местного самоуправления</t>
  </si>
  <si>
    <t>Функционирование законодательных (представительных) органов местного самоуправления в рамках непрограммных расходов сельсовета</t>
  </si>
  <si>
    <t>1910000000</t>
  </si>
  <si>
    <t>Расходы на выполнение функций законодательных органов местного самоуправления (депутатов) в рамках непрограммных расходов</t>
  </si>
  <si>
    <t>1910000400</t>
  </si>
  <si>
    <t>Руководство и управление в сфере установленных функций администрации сельсовета в рамках непрограммных расходов сельсовета</t>
  </si>
  <si>
    <t>1920000100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</si>
  <si>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</si>
  <si>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</si>
  <si>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</si>
  <si>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</si>
  <si>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</si>
  <si>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</si>
  <si>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</si>
  <si>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</si>
  <si>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Резервные фонды в рамках непрограммных расходов сельсовета</t>
  </si>
  <si>
    <t>1930000000</t>
  </si>
  <si>
    <t>Расходы за счёт средств резервного фонда администрации сельсовета в рамках непрограммных расходов сельсовета</t>
  </si>
  <si>
    <t>1930000200</t>
  </si>
  <si>
    <t>Резервные средства</t>
  </si>
  <si>
    <t>870</t>
  </si>
  <si>
    <t>Прочие мероприятия в рамках непрограммных расходов сельсовета</t>
  </si>
  <si>
    <t>1940000000</t>
  </si>
  <si>
    <t xml:space="preserve">Расходы на оплату целевого взноса в Совет муниципальных образований Красноярского края в рамках прочих непрограммных расходов сельсовета </t>
  </si>
  <si>
    <t>1940000300</t>
  </si>
  <si>
    <t>Расходы на мероприятия, направленные на предупреждение и профилактику коррупции на территории сельсовета в рамках прочих непрограммных расходов сельсовета</t>
  </si>
  <si>
    <t>Расходы на выполнение государственных полномочий по созданию и обеспечению деятельности административных комиссий в рамках прочих непрограммных расходов сельсовета</t>
  </si>
  <si>
    <t>1940075140</t>
  </si>
  <si>
    <t>НАЦИОНАЛЬНАЯ ОБОРОНА</t>
  </si>
  <si>
    <t>Осуществление первичного воинского учета на территориях, где отсутствуют военные комиссариаты в рамках прочих непрограммных расходов сельсовета</t>
  </si>
  <si>
    <t>1940051180</t>
  </si>
  <si>
    <t>НАЦИОНАЛЬНАЯ БЕЗОПАСНОСТЬ И ПРАВООХРАНИТЕЛЬНАЯ ДЕЯТЕЛЬНОСТЬ</t>
  </si>
  <si>
    <t>Муниципальная программа "Социально-экономическое развитие сельсовета"</t>
  </si>
  <si>
    <t>1500000000</t>
  </si>
  <si>
    <t>Подпрограмма "Защита населения и территории сельсовета от чрезвычайных ситуаций и стихийных бедствий"</t>
  </si>
  <si>
    <t>1510000000</t>
  </si>
  <si>
    <t>Расходы на обеспечение первичных мер пожарной безопасности в рамках подпрограммы "Защита населения и территории сельсовета от чрезвычайных ситуаций и стихийных бедствий" муниципальной программы "Социально-экономическое развитие сельсовета"</t>
  </si>
  <si>
    <t>15100S4120</t>
  </si>
  <si>
    <t>НАЦИОНАЛЬНАЯ ЭКОНОМИКА</t>
  </si>
  <si>
    <t>Подпрограмма "Благоустройство и поддержка жилищно-коммунального хозяйства"</t>
  </si>
  <si>
    <t>1520000000</t>
  </si>
  <si>
    <t>Содержание автомобильных дорог общего пользования местного значения за счёт средств бюджета сельсовета.Благоустройство и поддержка жилищно-коммунального хозяйства,муниципальной программы "Социально-экономическое развитие сельсовета"</t>
  </si>
  <si>
    <t>1520088660</t>
  </si>
  <si>
    <t>Расходы на капитальный ремонт и ремонт автомобильных дорог общего пользования местного значения сельских поселений. Благоустройство и поддержка жилищно-коммунального хозяйства, муниципальной программы "Социально-экономическое развитие сельсовета"</t>
  </si>
  <si>
    <t>15200S5090</t>
  </si>
  <si>
    <t>Подпрограмма "Управление муниципальными финансами сельсовета"</t>
  </si>
  <si>
    <t>1540000000</t>
  </si>
  <si>
    <t>Выполнение кадастровых работ по образованию земельных участков из земель государственной (муниципальной) собственности.Управление муниципальными финансами сельсовета,муниципальной программы "Социально-экономическое развитие сельсовета "</t>
  </si>
  <si>
    <t>1540088910</t>
  </si>
  <si>
    <t>ЖИЛИЩНО-КОММУНАЛЬНОЕ ХОЗЯЙСТВО</t>
  </si>
  <si>
    <t>Оказание ритуальных услуг.Благоустройство и поддержка жилищно-коммунального хозяйства,муниципальной программы "Социально-экономическое развитие сельсовета"</t>
  </si>
  <si>
    <t>1520088640</t>
  </si>
  <si>
    <t>110</t>
  </si>
  <si>
    <t>Уличное освещение.Благоустройство и поддержка жилищно-коммунального хозяйства,муниципальной программы "Социально-экономическое развитие сельсовета "</t>
  </si>
  <si>
    <t>1520088610</t>
  </si>
  <si>
    <t>Сбор и вывоз ТБО, ликвидация несанкционированных свалок.Благоустройство и поддержка жилищно-коммунального хозяйства,муниципальной программы "Социально-экономическое развитие сельсовета "</t>
  </si>
  <si>
    <t>1520088620</t>
  </si>
  <si>
    <t>Прочие мероприятия в области благоустройства.Благоустройство и поддержка жилищно-коммунального хозяйства,муниципальной программы "Социально-экономическое развитие сельсовета "</t>
  </si>
  <si>
    <t>1520088630</t>
  </si>
  <si>
    <t>Содержание мест захоронения.Благоустройство и поддержка жилищно-коммунального хозяйства,муниципальной программы "Социально-экономическое развитие сельсовета"</t>
  </si>
  <si>
    <t>1520088650</t>
  </si>
  <si>
    <t>Расходы на реализацию мероприсятий по поддержке местных инициатив.Благоустройство и поддержка жилищно-коммунального хозяйства,муниципальной программы "Социально-экономическое развитие сельсовета "</t>
  </si>
  <si>
    <t>15200S6410</t>
  </si>
  <si>
    <t>ОБРАЗОВАНИЕ</t>
  </si>
  <si>
    <t>Молодёжная политика и оздоровление детей</t>
  </si>
  <si>
    <t>Подпрограмма "Поддержка и развитие социальной сферы"</t>
  </si>
  <si>
    <t>1530000000</t>
  </si>
  <si>
    <t>Проведение оздоровительных и других мероприятий для детей и молодёжи за счёт средств бюджета сельсовета.Поддержка и развитие социальной сферы,муниципальной программы "Социально-экономическое развитие сельсовета"</t>
  </si>
  <si>
    <t>1530088810</t>
  </si>
  <si>
    <t>КУЛЬТУРА, КИНЕМАТОГРАФИЯ</t>
  </si>
  <si>
    <t>Культура</t>
  </si>
  <si>
    <t>Развитие культурно-досуговой и творческой деятельности.Поддержка и развитие социальной сферы,муниципальной программы "Социально-экономическое развитие сельсовета"</t>
  </si>
  <si>
    <t>1530088830</t>
  </si>
  <si>
    <t>Предоставление межбюджетных трансфертов бюджету муниципального района из бюджета сельсовета на осуществление части полномочий по решению вопросов местного значения в соответствии с заключёнными соглашениями.Управление муниципальными финансами сельсовета,муниципальной программы "Социально-экономическое развитие сельсовета "</t>
  </si>
  <si>
    <t>1540086210</t>
  </si>
  <si>
    <t>Межбюджетные трансферты</t>
  </si>
  <si>
    <t>500</t>
  </si>
  <si>
    <t>Иные межбюджетные трансферты</t>
  </si>
  <si>
    <t>540</t>
  </si>
  <si>
    <t>Условно утверждённые расходы</t>
  </si>
  <si>
    <t>Раздел, подраздел</t>
  </si>
  <si>
    <t xml:space="preserve">НАЦИОНАЛЬНАЯ БЕЗОПАСНОСТЬ И ПРАВООХРАНИТЕЛЬНАЯ ДЕЯТЕЛЬНОСТЬ </t>
  </si>
  <si>
    <t>11</t>
  </si>
  <si>
    <t>12</t>
  </si>
  <si>
    <t>13</t>
  </si>
  <si>
    <t>14</t>
  </si>
  <si>
    <t>15</t>
  </si>
  <si>
    <t>16</t>
  </si>
  <si>
    <t>17</t>
  </si>
  <si>
    <t>18</t>
  </si>
  <si>
    <t>19</t>
  </si>
  <si>
    <t>20</t>
  </si>
  <si>
    <t>21</t>
  </si>
  <si>
    <t>22</t>
  </si>
  <si>
    <t>23</t>
  </si>
  <si>
    <t>24</t>
  </si>
  <si>
    <t>25</t>
  </si>
  <si>
    <t>26</t>
  </si>
  <si>
    <t>27</t>
  </si>
  <si>
    <t>Подпрограмма "Благоустройство и поддержка жилищно-коммунального хозяйства".</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</si>
  <si>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</si>
  <si>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</si>
  <si>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</si>
  <si>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</si>
  <si>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</si>
  <si>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</si>
  <si>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</si>
  <si>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</si>
  <si>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</si>
  <si>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</si>
  <si>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</si>
  <si>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</si>
  <si>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</si>
  <si>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</si>
  <si>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</si>
  <si>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</si>
  <si>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</si>
  <si>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</si>
  <si>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</si>
  <si>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</si>
  <si>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</si>
  <si>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</si>
  <si>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</si>
  <si>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</si>
  <si>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</si>
  <si>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</si>
  <si>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</si>
  <si>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</si>
  <si>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</si>
  <si>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</si>
  <si>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</si>
  <si>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</si>
  <si>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</si>
  <si>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</si>
  <si>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</si>
  <si>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</si>
  <si>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</si>
  <si>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</si>
  <si>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</si>
  <si>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</si>
  <si>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</si>
  <si>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</si>
  <si>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</si>
  <si>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</si>
  <si>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</si>
  <si>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</si>
  <si>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</si>
  <si>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</si>
  <si>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81</t>
  </si>
  <si>
    <t>82</t>
  </si>
  <si>
    <t>83</t>
  </si>
  <si>
    <t>84</t>
  </si>
  <si>
    <t>85</t>
  </si>
  <si>
    <t>86</t>
  </si>
  <si>
    <t>87</t>
  </si>
  <si>
    <t>88</t>
  </si>
  <si>
    <t>89</t>
  </si>
  <si>
    <t>90</t>
  </si>
  <si>
    <t>91</t>
  </si>
  <si>
    <t>92</t>
  </si>
  <si>
    <t>93</t>
  </si>
  <si>
    <t>94</t>
  </si>
  <si>
    <t>95</t>
  </si>
  <si>
    <t>96</t>
  </si>
  <si>
    <t>97</t>
  </si>
  <si>
    <t>98</t>
  </si>
  <si>
    <t>99</t>
  </si>
  <si>
    <t>101</t>
  </si>
  <si>
    <t>102</t>
  </si>
  <si>
    <t>103</t>
  </si>
  <si>
    <t>104</t>
  </si>
  <si>
    <t>105</t>
  </si>
  <si>
    <t>106</t>
  </si>
  <si>
    <t>107</t>
  </si>
  <si>
    <t>108</t>
  </si>
  <si>
    <t>109</t>
  </si>
  <si>
    <t>111</t>
  </si>
  <si>
    <t>Подпрограмма "Поддержка и развитие социальной сферы".</t>
  </si>
  <si>
    <t>112</t>
  </si>
  <si>
    <t>113</t>
  </si>
  <si>
    <t>114</t>
  </si>
  <si>
    <t>115</t>
  </si>
  <si>
    <t>116</t>
  </si>
  <si>
    <t>Молодежная политика</t>
  </si>
  <si>
    <t>117</t>
  </si>
  <si>
    <t>118</t>
  </si>
  <si>
    <t>119</t>
  </si>
  <si>
    <t>121</t>
  </si>
  <si>
    <t>122</t>
  </si>
  <si>
    <t>123</t>
  </si>
  <si>
    <t>124</t>
  </si>
  <si>
    <t>125</t>
  </si>
  <si>
    <t>126</t>
  </si>
  <si>
    <t>127</t>
  </si>
  <si>
    <t>128</t>
  </si>
  <si>
    <t>129</t>
  </si>
  <si>
    <t>130</t>
  </si>
  <si>
    <t>131</t>
  </si>
  <si>
    <t>132</t>
  </si>
  <si>
    <t>133</t>
  </si>
  <si>
    <t>134</t>
  </si>
  <si>
    <t>135</t>
  </si>
  <si>
    <t>136</t>
  </si>
  <si>
    <t>137</t>
  </si>
  <si>
    <t>138</t>
  </si>
  <si>
    <t>139</t>
  </si>
  <si>
    <t>140</t>
  </si>
  <si>
    <t>141</t>
  </si>
  <si>
    <t>142</t>
  </si>
  <si>
    <t>76</t>
  </si>
  <si>
    <t>77</t>
  </si>
  <si>
    <t>78</t>
  </si>
  <si>
    <t>79</t>
  </si>
  <si>
    <t>80</t>
  </si>
  <si>
    <t>143</t>
  </si>
  <si>
    <t>144</t>
  </si>
  <si>
    <t>145</t>
  </si>
  <si>
    <t>146</t>
  </si>
  <si>
    <t>147</t>
  </si>
  <si>
    <t>148</t>
  </si>
  <si>
    <t>149</t>
  </si>
  <si>
    <t>150</t>
  </si>
  <si>
    <t>151</t>
  </si>
  <si>
    <t>152</t>
  </si>
  <si>
    <t>153</t>
  </si>
  <si>
    <t>154</t>
  </si>
  <si>
    <t>155</t>
  </si>
  <si>
    <t>156</t>
  </si>
  <si>
    <t>157</t>
  </si>
  <si>
    <t xml:space="preserve">ОБЩЕГОСУДАРСТВЕННЫЕ ВОПРОСЫ </t>
  </si>
  <si>
    <t>158</t>
  </si>
  <si>
    <t>159</t>
  </si>
  <si>
    <t>Функционирование высшего должностного лица субъекта Российской Федерации и муниципального образования</t>
  </si>
  <si>
    <t>182</t>
  </si>
  <si>
    <t>1940000700</t>
  </si>
  <si>
    <t>230</t>
  </si>
  <si>
    <t>ВСЕГО</t>
  </si>
  <si>
    <t>Внутренние заимствования (привлечение/погашение)</t>
  </si>
  <si>
    <t>Кредитные соглашения и договоры, заключенные от имени органа местного самоуправления</t>
  </si>
  <si>
    <t>1.1</t>
  </si>
  <si>
    <t>получение                                                                                     в том числе:</t>
  </si>
  <si>
    <t>а)</t>
  </si>
  <si>
    <t>кредитов от кредитных организаций</t>
  </si>
  <si>
    <t>б)</t>
  </si>
  <si>
    <t>бюджетных кредитов от других бюджетов бюджетной системы Российской Федерации</t>
  </si>
  <si>
    <t>1.2</t>
  </si>
  <si>
    <t>погашение                                                                                     в том числе:</t>
  </si>
  <si>
    <t>кредитов, полученных от кредитных организаций</t>
  </si>
  <si>
    <t>бюджетных кредитов (ссуд), полученных от других бюджетов бюджетной системы Российской Федерации</t>
  </si>
  <si>
    <t>Всего доходы бюджета на 2022 год</t>
  </si>
  <si>
    <t>группа доходов</t>
  </si>
  <si>
    <t>подгруппа доходов</t>
  </si>
  <si>
    <t>статья доходов</t>
  </si>
  <si>
    <t>подстатья доходов</t>
  </si>
  <si>
    <t>элемент доходов</t>
  </si>
  <si>
    <t>группа подвидов доходов бюджета</t>
  </si>
  <si>
    <t>аналитическая группа подвида доходов бюджета</t>
  </si>
  <si>
    <t>000</t>
  </si>
  <si>
    <t>00</t>
  </si>
  <si>
    <t>0000</t>
  </si>
  <si>
    <t>НАЛОГОВЫЕ И НЕНАЛОГОВЫЕ ДОХОДЫ</t>
  </si>
  <si>
    <t>01</t>
  </si>
  <si>
    <t>НАЛОГИ НА ПРИБЫЛЬ, ДОХОДЫ</t>
  </si>
  <si>
    <t>02</t>
  </si>
  <si>
    <t>Налог на доходы физических лиц</t>
  </si>
  <si>
    <t>010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</si>
  <si>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</si>
  <si>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030</t>
  </si>
  <si>
    <t>Налог на доходы физических лиц с доходов, полученных физическими лицами в соответствии со статьей 228 Налогового кодекса Российской Федерации</t>
  </si>
  <si>
    <t>03</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</si>
  <si>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</si>
  <si>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</si>
  <si>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</si>
  <si>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231</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</si>
  <si>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</si>
  <si>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</si>
  <si>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241</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</si>
  <si>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</si>
  <si>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250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</si>
  <si>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</si>
  <si>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251</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</si>
  <si>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</si>
  <si>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260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</si>
  <si>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</si>
  <si>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261</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</si>
  <si>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</si>
  <si>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05</t>
  </si>
  <si>
    <t>НАЛОГИ НА СОВОКУПНЫЙ ДОХОД</t>
  </si>
  <si>
    <t>Единый сельскохозяйственный налог</t>
  </si>
  <si>
    <t>06</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</si>
  <si>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</si>
  <si>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</si>
  <si>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сельских поселений</t>
  </si>
  <si>
    <t>Земельный налог</t>
  </si>
  <si>
    <t>Земельный налог с организаций</t>
  </si>
  <si>
    <t>033</t>
  </si>
  <si>
    <t>Земельный налог с организаций, обладающих земельным участком, расположенным в границах сельских поселений</t>
  </si>
  <si>
    <t>040</t>
  </si>
  <si>
    <t>Земельный налог с физических лиц</t>
  </si>
  <si>
    <t>043</t>
  </si>
  <si>
    <t>Земельный налог с физических лиц, обладающих земельным участком, расположенным в границах сельских поселений</t>
  </si>
  <si>
    <t>08</t>
  </si>
  <si>
    <t>ГОСУДАРСТВЕННАЯ ПОШЛИНА</t>
  </si>
  <si>
    <t>04</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</si>
  <si>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</si>
  <si>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020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</si>
  <si>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</si>
  <si>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1000</t>
  </si>
  <si>
    <t>ДОХОДЫ ОТ ИСПОЛЬЗОВАНИЯ ИМУЩЕСТВА, НАХОДЯЩЕГОСЯ В ГОСУДАРСТВЕННОЙ И МУНИЦИПАЛЬНОЙ СОБСТВЕННОСТИ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</si>
  <si>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</si>
  <si>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</si>
  <si>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025</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</si>
  <si>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</si>
  <si>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035</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</si>
  <si>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</si>
  <si>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ШТРАФЫ, САНКЦИИ, ВОЗМЕЩЕНИЕ УЩЕРБА</t>
  </si>
  <si>
    <t>Административные штрафы, установленные законами субъектов Российской Федерации об административных правонарушениях</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</si>
  <si>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</si>
  <si>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</si>
  <si>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</si>
  <si>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001</t>
  </si>
  <si>
    <t>7601</t>
  </si>
  <si>
    <t>8601</t>
  </si>
  <si>
    <t>999</t>
  </si>
  <si>
    <t>024</t>
  </si>
  <si>
    <t>7514</t>
  </si>
  <si>
    <t>8602</t>
  </si>
  <si>
    <t>07</t>
  </si>
  <si>
    <t>ВСЕГО ДОХОДОВ</t>
  </si>
  <si>
    <t>Прочие межбюджетные трансферты, передаваемые бюджетам сельских поселений (на поддержку мер по обеспечению сбалансированности бюджетов из районного бюджета)</t>
  </si>
  <si>
    <t>Сумма на  2022 год</t>
  </si>
  <si>
    <t>Сумма на 2022 год</t>
  </si>
  <si>
    <t>1940000400</t>
  </si>
  <si>
    <t>Оценка недвижимости, признание прав и регулирование отношений по муниципальной собственности в рамках прочих непрограммных расходов сельсовета.</t>
  </si>
  <si>
    <t>2023 год</t>
  </si>
  <si>
    <t>Всего доходы бюджета на 2023 год</t>
  </si>
  <si>
    <t>код главного администратора доходов бюджета</t>
  </si>
  <si>
    <t>код вида доходов бюджета</t>
  </si>
  <si>
    <t>код подвида доходов бюджета</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</si>
  <si>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 (перерасчеты, недоимка и задолженность по соответствующему платежу, в том числе по отмененному)</t>
  </si>
  <si>
    <t>Дотации бюджетам сельских поселений на выравнивание бюджетной обеспеченности из бюджета субъекта Российской Федерации (из краевого бюджета)</t>
  </si>
  <si>
    <t>Субвенции бюджетам сельских поселений на выполнение передаваемых полномочий субъектов Российской Федерации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t>
  </si>
  <si>
    <t>Дотации бюджетам сельских поселений на выравнивание бюджетной обеспеченности из бюджета субъекта Российской Федерации (из районного бюджета)</t>
  </si>
  <si>
    <t>Сумма на  2023 год</t>
  </si>
  <si>
    <t>Распределение бюджетных ассигнований по целевым статьям (муниципальным  программам Городокского сельсовета и непрограммным направлениям деятельности), группам и подгруппам видов расходов, разделам, подразделам классификации расходов бюджета  сельсовета</t>
  </si>
  <si>
    <t>Сумма на 2023 год</t>
  </si>
  <si>
    <t xml:space="preserve">Межбюджетные трансферты общего характера бюджетам бюджетной системы Российской Федерации </t>
  </si>
  <si>
    <t>Расчет  иных межбюджетных трансфертов на оплату труда работников, осуществляющих  переданные полномочия по исполнению бюджета поселения и осуществлению  контроля за его исполнением на 2021-2023 годы в соответствии с п.п. 2.1.1. Соглашения</t>
  </si>
  <si>
    <t>Расчет иных межбюджетных трансфертов на  оплату труда работников, осуществляющих  переданные полномочия по организации в границах поселения  электро-, тепло-,газо-,и водоснабжения населения, водоотведения, снабжения населения топливом  на 2021-2023 годы в соответствии с п.п. 2.1.2. Соглашения</t>
  </si>
  <si>
    <t>Расчет иных межбюджетных трансфертов на оплату  труда работников, осуществляющих переданные полномочия по обеспечению проживающих в поселении и нуждающихся  в жилых помещениях малоимущих граждан жилыми помещениями на  2021-2023 годыв соответствии с п.п. 2.1.3. Соглашения</t>
  </si>
  <si>
    <t>Расчет иных межбюджетных трансфертов на оплату  труда работников, обеспечивающих  условия для реализации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 на 2021-2023 годы, в соответсвии с п.п.2.1.4 Соглашения</t>
  </si>
  <si>
    <t>Расчет иных межбюджетных трансфертов на оплату труда работников, осуществляющих  переданные полномочия по созданию условий для организации досуга и обеспечения жителей поселения услугами организаций культуры на 2021-2023 годы в соответствии с п.п. 2.1.5. Соглашения</t>
  </si>
  <si>
    <t>Расчет иных межбюджетных трансфертов на оплату  труда работников, осуществляющих переданные полномочия на организацию и осуществление мероприятий по работе с детьми и молодежью в поселении на 2021-2023 годы в соответствии с п.п. 2.1.6. Соглашения</t>
  </si>
  <si>
    <t>Защита населения и территории от чрезвычайных ситуаций природного и технологического характера, пожарная безопасность</t>
  </si>
  <si>
    <t>Расчет иных межбюджетных трансфертов на оплату  труда работников,осуществляющих  переданные полномочия  по  содействию в развитии сельскохозяйственного производства,созданию условий для  развития малого и среднего предпринимательства на 2021-2023 годы в соответствии с п.п. 2.1.7. Соглашения</t>
  </si>
  <si>
    <t>Доходы бюджета Городокского сельсовета Минусинского района на 2022 год и плановый период 2023-2024 годов</t>
  </si>
  <si>
    <t>Всего доходы бюджета на 2024 год</t>
  </si>
  <si>
    <t>Распределение бюджетных ассигнований по разделам и подразделам бюджетной классификации расходов бюджетов Российской Федерации  на 2022 год и плановый период 2023-2024 годов</t>
  </si>
  <si>
    <t>Сумма на  2024 год</t>
  </si>
  <si>
    <t xml:space="preserve">Ведомственная структура расходов бюджета сельсовета на 2022 год и плановый период 2023-2024 годы </t>
  </si>
  <si>
    <t>на 2022 год и плановый период 2023-2024 годы</t>
  </si>
  <si>
    <t>Иные межбюджетные трансферты на осуществление части полномочий по решению вопросов местного значения поселения, переданных органом местного самоуправлению поселения муниципальному району на 2022-2024 годы</t>
  </si>
  <si>
    <t>2024 год</t>
  </si>
  <si>
    <t>Программа муниципальных внутренних заимствований Городокского сельсовета Минусинского района на 2022 год и плановый период 2023-2024 годов</t>
  </si>
  <si>
    <t>Сумма на 2024 год</t>
  </si>
  <si>
    <t>разница</t>
  </si>
  <si>
    <t xml:space="preserve">Наименование кода поступлений в бюджет, группы, подгруппы, статьи, подстатьи, элемента, группы подвида, аналитической группы подвида доходов
</t>
  </si>
  <si>
    <t xml:space="preserve">Дотации на выравнивание бюджетной обеспеченности
</t>
  </si>
  <si>
    <t xml:space="preserve">Дотации бюджетам сельских поселений на выравнивание бюджетной обеспеченности из бюджета субъекта Российской Федерации
</t>
  </si>
  <si>
    <t xml:space="preserve">Субвенции бюджетам бюджетной системы Российской Федерации
</t>
  </si>
  <si>
    <t xml:space="preserve">Субвенции местным бюджетам на выполнение передаваемых полномочий субъектов Российской Федерации
</t>
  </si>
  <si>
    <t xml:space="preserve">Субвенции бюджетам сельских поселений на выполнение передаваемых полномочий субъектов Российской Федерации
</t>
  </si>
  <si>
    <t xml:space="preserve">Субвенции бюджетам на осуществление первичного воинского учета органами местного самоуправления поселений, муниципальных и городских округов
</t>
  </si>
  <si>
    <t xml:space="preserve">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
</t>
  </si>
  <si>
    <t xml:space="preserve">Иные межбюджетные трансферты
</t>
  </si>
  <si>
    <t xml:space="preserve">Прочие межбюджетные трансферты, передаваемые бюджетам
</t>
  </si>
  <si>
    <t xml:space="preserve">Прочие межбюджетные трансферты, передаваемые бюджетам сельских поселений
</t>
  </si>
  <si>
    <t xml:space="preserve">ПРОЧИЕ БЕЗВОЗМЕЗДНЫЕ ПОСТУПЛЕНИЯ
</t>
  </si>
  <si>
    <t xml:space="preserve">Прочие безвозмездные поступления в бюджеты сельских поселений
</t>
  </si>
  <si>
    <r>
      <t xml:space="preserve">                                                                                                    </t>
    </r>
    <r>
      <rPr>
        <sz val="12"/>
        <rFont val="Times New Roman"/>
        <family val="1"/>
        <charset val="204"/>
      </rPr>
      <t>(рублей)</t>
    </r>
  </si>
  <si>
    <t>Наименование кода поступлений в бюджет, группы, подгруппы, статьи, подстатьи, элемента, подвида, аналитической группы вида источников финансирования дефицитов бюджетов</t>
  </si>
  <si>
    <t>Сумма</t>
  </si>
  <si>
    <t>Изменение остатков средств на счетах по учету средств бюджетов</t>
  </si>
  <si>
    <t>Увеличение прочих остатков денежных средств бюджетов сельских поселений</t>
  </si>
  <si>
    <t>Уменьшение прочих остатков денежных средств бюджетов сельских поселений</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</si>
  <si>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</si>
  <si>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</si>
  <si>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</si>
  <si>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сельских поселений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</si>
  <si>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</si>
  <si>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</si>
  <si>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Всего</t>
  </si>
  <si>
    <t>Источники  внутреннего финансирования дефицита бюджета Горокского сельсовета Минусинского района
в 2022 году и плановом периоде 2023-2024 годов</t>
  </si>
  <si>
    <t>Приложение 2
к решению
Совета депутатов  
от    .12.2020 №     -рс</t>
  </si>
  <si>
    <t xml:space="preserve">Приложение 3 </t>
  </si>
  <si>
    <t>Приложение 4</t>
  </si>
  <si>
    <t>Приложение 7</t>
  </si>
  <si>
    <t>160</t>
  </si>
  <si>
    <t>161</t>
  </si>
  <si>
    <t>162</t>
  </si>
  <si>
    <t>163</t>
  </si>
  <si>
    <t>164</t>
  </si>
  <si>
    <t>165</t>
  </si>
  <si>
    <t>166</t>
  </si>
  <si>
    <t>1920000101</t>
  </si>
  <si>
    <t>Расходы на содержание водителей и персонала по охране и обслуживанию административных зданий в рамках непрограммных расходов сельсовета</t>
  </si>
  <si>
    <t>19 2 00 00888</t>
  </si>
  <si>
    <t>Расходы на выплату премий муниципальным служащим в рамках непрограммных расходов сельсовета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</si>
  <si>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</si>
  <si>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1920000888</t>
  </si>
  <si>
    <t>7412</t>
  </si>
  <si>
    <t>7641</t>
  </si>
  <si>
    <t>7459</t>
  </si>
  <si>
    <t>2724</t>
  </si>
  <si>
    <t>7509</t>
  </si>
  <si>
    <t xml:space="preserve">Прочие субсидии бюджетам сельских поселений (на капитальный ремонт и ремонт автомобильных дорог общего пользования местного значения за счет средств дорожного фонда Красноярского края) </t>
  </si>
  <si>
    <t>Субсидии бюджетам бюджетной системы Российской Федерации (межбюджетные субсидии)</t>
  </si>
  <si>
    <t>Прочие субсидии</t>
  </si>
  <si>
    <t>Прочие субсидии бюджетам сельских поселений</t>
  </si>
  <si>
    <t xml:space="preserve">Прочие межбюджетные трансферты, передаваемые бюджетам сельских поселений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t>
  </si>
  <si>
    <t>Прочие межбюджетные трансферты, передаваемые бюджетам сельских поселений (на обеспечение первичных мер пожарной безопасности)</t>
  </si>
  <si>
    <t>Прочие межбюджетные трансферты, передаваемые бюджетам сельских поселений (на софинансирование муниципальных программ формирования современной городской (сельской) среды в поселениях)</t>
  </si>
  <si>
    <t>Прочие межбюджетные трансферты, передаваемые бюджетам сельских поселений (на осуществление расходов, направленных на реализацию мероприятий по поддержке местных инициатив)</t>
  </si>
  <si>
    <t>0202</t>
  </si>
  <si>
    <t>Инициативные платежи, зачисляемые в бюджеты сельских поселений (на осуществление расходов, направленных на реализацию мероприятий по поддержке местных инициатив за счет поступлений от юридических лиц)</t>
  </si>
  <si>
    <t>Инициативные платежи, зачисляемые в бюджеты сельских поселений (на осуществление расходов, направленных на реализацию мероприятий по поддержке местных инициатив за счет поступлений от физических лиц)</t>
  </si>
  <si>
    <t>ДОХОДЫ ОТ ОКАЗАНИЯ ПЛАТНЫХ УСЛУГ И КОМПЕНСАЦИИ ЗАТРАТ ГОСУДАРСТВА</t>
  </si>
  <si>
    <t>Доходы от компенсации затрат государства</t>
  </si>
  <si>
    <t>060</t>
  </si>
  <si>
    <t>Доходы, поступающие в порядке возмещения расходов, понесенных в связи с эксплуатацией имущества</t>
  </si>
  <si>
    <t>065</t>
  </si>
  <si>
    <t>Доходы, поступающие в порядке возмещения расходов, понесенных в связи с эксплуатацией имущества сельских поселений</t>
  </si>
  <si>
    <t>ПРОЧИЕ НЕНАЛОГОВЫЕ ДОХОДЫ</t>
  </si>
  <si>
    <t>Инициативные платежи</t>
  </si>
  <si>
    <t>Инициативные платежи, зачисляемые в бюджеты сельских поселений</t>
  </si>
  <si>
    <t>300</t>
  </si>
  <si>
    <t>360</t>
  </si>
  <si>
    <t>Социальное обеспечение и иные выплаты населению</t>
  </si>
  <si>
    <t>Иные выплаты населению</t>
  </si>
  <si>
    <t>Расходы  на реализацию мероприятий по поддержке местных инициатив за счёт поступлений от юридических лиц.Благоустройство и поддержка жилищно-коммунального хозяйства,муниципальной программы "Социально-экономическое развитие сельсовета "</t>
  </si>
  <si>
    <t>15202S6410</t>
  </si>
  <si>
    <t>Расходы на реализацию мероприятий по поддержке местных инициатив за счёт средств граждан.Благоустройство и поддержка жилищно-коммунального хозяйства,муниципальной программы "Социально-экономическое развитие сельсовета "</t>
  </si>
  <si>
    <t>15203S6410</t>
  </si>
  <si>
    <t>Программа "Формирование комфортной городской (сельской) среды"</t>
  </si>
  <si>
    <t>1600000000</t>
  </si>
  <si>
    <t>Подпрограмма "Благоустройство дворовых и общественных территорий муниципальных образований"</t>
  </si>
  <si>
    <t>1610000000</t>
  </si>
  <si>
    <t>16100S4590</t>
  </si>
  <si>
    <t>16103S4590</t>
  </si>
  <si>
    <t xml:space="preserve">Расходы на реализацию мероприятий подпрограммы «Благоустройство дворовых и общественных территорий муниципальных образований» муниципальной программы «Формирование комфортной городской (сельской) среды» </t>
  </si>
  <si>
    <t>Расходы на реализацию мероприятий подпрограммы «Благоустройство дворовых и общественных территорий муниципальных образований» муниципальной программы «Формирование комфортной городской (сельской) среды» за счет средств граждан</t>
  </si>
  <si>
    <t>167</t>
  </si>
  <si>
    <t>168</t>
  </si>
  <si>
    <t>169</t>
  </si>
  <si>
    <t>170</t>
  </si>
  <si>
    <t>171</t>
  </si>
  <si>
    <t>172</t>
  </si>
  <si>
    <t>173</t>
  </si>
  <si>
    <t>174</t>
  </si>
  <si>
    <t>175</t>
  </si>
  <si>
    <t>176</t>
  </si>
  <si>
    <t>177</t>
  </si>
  <si>
    <t>178</t>
  </si>
  <si>
    <t>179</t>
  </si>
  <si>
    <t>180</t>
  </si>
  <si>
    <t>181</t>
  </si>
  <si>
    <t>183</t>
  </si>
  <si>
    <t>184</t>
  </si>
  <si>
    <t>185</t>
  </si>
  <si>
    <t>186</t>
  </si>
  <si>
    <t>080</t>
  </si>
  <si>
    <t>7508</t>
  </si>
  <si>
    <t>7745</t>
  </si>
  <si>
    <t>7749</t>
  </si>
  <si>
    <t>244</t>
  </si>
  <si>
    <t>19 2 00 77450</t>
  </si>
  <si>
    <t>15200S5080</t>
  </si>
  <si>
    <t>1520077450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</si>
  <si>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</si>
  <si>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</si>
  <si>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Прочие межбюджетные трансферты, передаваемые бюджетам сельских поселений (за содействие развитию налогового потенциала)</t>
  </si>
  <si>
    <t>Прочие межбюджетные трансферты, передаваемые бюджетам сельских поселений (на реализацию проектов по решению вопросов местного значения, осуществляемых непосредственно населением на территории населенного пункта)</t>
  </si>
  <si>
    <t>Прочие межбюджетные трансферты, передаваемые бюджетам сельских поселений (на содержание автомобильных дорог общего пользования местного значения за счет средств дорожного фонда Красноярского края. Безопасность дорожного движения, муниципальной программы "Обеспечение безопасности дорожного движения на территории Минусинского района")</t>
  </si>
  <si>
    <t>Расходы за счет иных МБТ за содействие развитию налогового потенциала в рамках непрограммных расходов сельсовета</t>
  </si>
  <si>
    <t>19 2 00 00101</t>
  </si>
  <si>
    <t>19 2 00 00100</t>
  </si>
  <si>
    <t>19 2 00 00000</t>
  </si>
  <si>
    <t>19 0 00 00000</t>
  </si>
  <si>
    <t>19 2 00 00200</t>
  </si>
  <si>
    <t>19 1 00 00000</t>
  </si>
  <si>
    <t>19 1 00 00400</t>
  </si>
  <si>
    <t>19 3 00 00000</t>
  </si>
  <si>
    <t>19 3 00 00200</t>
  </si>
  <si>
    <t>19 4 00 00000</t>
  </si>
  <si>
    <t>19 4 00 00300</t>
  </si>
  <si>
    <t>19 4 00 00400</t>
  </si>
  <si>
    <t>19 4 00 0700</t>
  </si>
  <si>
    <t>19 4 00 75140</t>
  </si>
  <si>
    <t>Расходы на реализацию проектов по решению вопросов местного значения сельских поселений. Благоустройство и поддержка жилищно-коммунального хозяйства,муниципальной программы "Социально-экономическое развитие сельсовета "</t>
  </si>
  <si>
    <t>15200S7490</t>
  </si>
  <si>
    <t>Расходы на муниципальные комплексные проекты развития.  Благоустройство и поддержка жилищно-коммунального хозяйства,муниципальной программы "Социально-экономическое развитие сельсовета "</t>
  </si>
  <si>
    <t>15200S6640</t>
  </si>
  <si>
    <t>Расходы на содержание автомобильных дорог общего пользования местного значения сельских поселений за счет средств дорожного фонда Красноярского края в рамках подпрограммы "Благоустройство и поддержка жилищно-коммунального хозяйства" муниципальной программы "Социально-экономическое развитие сельсовета"</t>
  </si>
  <si>
    <t>Расходы за счет иных МБТ за содействие развитию налогового потенциала. Благоустройство и поддержка жилищно-коммунального хозяйства,муниципальной программы "Социально-экономическое развитие сельсовета"</t>
  </si>
  <si>
    <t>1920077450</t>
  </si>
  <si>
    <t>187</t>
  </si>
  <si>
    <t>188</t>
  </si>
  <si>
    <t>189</t>
  </si>
  <si>
    <t>190</t>
  </si>
  <si>
    <t>191</t>
  </si>
  <si>
    <t>192</t>
  </si>
  <si>
    <t>193</t>
  </si>
  <si>
    <t>194</t>
  </si>
  <si>
    <t>195</t>
  </si>
  <si>
    <t>196</t>
  </si>
  <si>
    <t>197</t>
  </si>
  <si>
    <t>198</t>
  </si>
  <si>
    <t>199</t>
  </si>
  <si>
    <t>201</t>
  </si>
  <si>
    <t>202</t>
  </si>
  <si>
    <t>203</t>
  </si>
  <si>
    <t>204</t>
  </si>
  <si>
    <t>205</t>
  </si>
  <si>
    <t>206</t>
  </si>
  <si>
    <t>7664</t>
  </si>
  <si>
    <t>Прочие безвозмездные поступления в бюджеты сельских поселений (Современная городская среда)</t>
  </si>
  <si>
    <t>Прочие межбюджетные трансферты, передаваемые бюджетам сельских поселений (на государственную поддержку муниципальных комплексных проектов развития)</t>
  </si>
  <si>
    <t>№ 77-рс от 27.06.2022г.</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</si>
</sst>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_р_._-;\-* #,##0_р_._-;_-* &quot;-&quot;_р_._-;_-@_-"/>
    <numFmt numFmtId="165" formatCode="_-* #,##0.00_р_._-;\-* #,##0.00_р_._-;_-* &quot;-&quot;??_р_._-;_-@_-"/>
    <numFmt numFmtId="166" formatCode="#,##0.0"/>
    <numFmt numFmtId="167" formatCode="_(* #,##0.00_);_(* \(#,##0.00\);_(* &quot;-&quot;??_);_(@_)"/>
  </numFmts>
  <fonts count="29" x14ac:knownFonts="1">
    <font>
      <sz val="11"/>
      <color theme="1"/>
      <name val="Calibri"/>
      <family val="2"/>
      <charset val="204"/>
      <scheme val="minor"/>
    </font>
    <font>
      <sz val="11"/>
      <color theme="1"/>
      <name val="Calibri"/>
      <family val="2"/>
      <charset val="204"/>
      <scheme val="minor"/>
    </font>
    <font>
      <sz val="10"/>
      <name val="Arial Cyr"/>
      <charset val="204"/>
    </font>
    <font>
      <b/>
      <sz val="14"/>
      <name val="Times New Roman"/>
      <family val="1"/>
      <charset val="204"/>
    </font>
    <font>
      <sz val="14"/>
      <name val="Times New Roman"/>
      <family val="1"/>
      <charset val="204"/>
    </font>
    <font>
      <b/>
      <sz val="20"/>
      <name val="Times New Roman"/>
      <family val="1"/>
      <charset val="204"/>
    </font>
    <font>
      <sz val="10"/>
      <name val="Helv"/>
      <charset val="204"/>
    </font>
    <font>
      <sz val="10"/>
      <name val="Arial"/>
      <family val="2"/>
      <charset val="204"/>
    </font>
    <font>
      <sz val="8"/>
      <color indexed="8"/>
      <name val="Calibri"/>
      <family val="2"/>
      <charset val="204"/>
    </font>
    <font>
      <sz val="10"/>
      <name val="Arial Cyr"/>
      <family val="2"/>
      <charset val="204"/>
    </font>
    <font>
      <sz val="10"/>
      <name val="Times New Roman"/>
      <family val="1"/>
      <charset val="204"/>
    </font>
    <font>
      <b/>
      <sz val="12"/>
      <name val="Times New Roman"/>
      <family val="1"/>
      <charset val="204"/>
    </font>
    <font>
      <sz val="12"/>
      <name val="Times New Roman"/>
      <family val="1"/>
      <charset val="204"/>
    </font>
    <font>
      <b/>
      <sz val="10"/>
      <name val="Times New Roman"/>
      <family val="1"/>
      <charset val="204"/>
    </font>
    <font>
      <b/>
      <sz val="16"/>
      <name val="Times New Roman"/>
      <family val="1"/>
      <charset val="204"/>
    </font>
    <font>
      <sz val="10"/>
      <name val="Arial"/>
      <family val="2"/>
    </font>
    <font>
      <sz val="12"/>
      <name val="Arial Cyr"/>
      <charset val="204"/>
    </font>
    <font>
      <b/>
      <i/>
      <sz val="12"/>
      <name val="Times New Roman"/>
      <family val="1"/>
      <charset val="204"/>
    </font>
    <font>
      <b/>
      <sz val="10"/>
      <name val="Arial Cyr"/>
      <charset val="204"/>
    </font>
    <font>
      <b/>
      <sz val="10"/>
      <name val="Arial Cyr"/>
      <family val="2"/>
      <charset val="204"/>
    </font>
    <font>
      <sz val="11"/>
      <name val="Calibri"/>
      <family val="2"/>
      <charset val="204"/>
      <scheme val="minor"/>
    </font>
    <font>
      <sz val="14"/>
      <name val="Calibri"/>
      <family val="2"/>
      <charset val="204"/>
      <scheme val="minor"/>
    </font>
    <font>
      <sz val="20"/>
      <name val="Calibri"/>
      <family val="2"/>
      <charset val="204"/>
      <scheme val="minor"/>
    </font>
    <font>
      <sz val="11"/>
      <color theme="1"/>
      <name val="Calibri"/>
      <family val="2"/>
      <scheme val="minor"/>
    </font>
    <font>
      <sz val="12"/>
      <name val="Calibri"/>
      <family val="2"/>
      <charset val="204"/>
      <scheme val="minor"/>
    </font>
    <font>
      <sz val="11"/>
      <name val="Calibri"/>
      <family val="2"/>
      <scheme val="minor"/>
    </font>
    <font>
      <sz val="11"/>
      <color rgb="FFFF0000"/>
      <name val="Calibri"/>
      <family val="2"/>
      <scheme val="minor"/>
    </font>
    <font>
      <sz val="10"/>
      <color rgb="FFFF0000"/>
      <name val="Times New Roman"/>
      <family val="1"/>
      <charset val="204"/>
    </font>
    <font>
      <b/>
      <sz val="11"/>
      <color theme="1"/>
      <name val="Calibri"/>
      <family val="2"/>
      <charset val="204"/>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s>
  <cellStyleXfs count="24">
    <xf numFmtId="0" fontId="0" fillId="0" borderId="0"/>
    <xf numFmtId="0" fontId="2" fillId="0" borderId="0"/>
    <xf numFmtId="0" fontId="7" fillId="0" borderId="0"/>
    <xf numFmtId="0" fontId="7" fillId="0" borderId="0"/>
    <xf numFmtId="0" fontId="8" fillId="0" borderId="0"/>
    <xf numFmtId="0" fontId="7" fillId="0" borderId="0"/>
    <xf numFmtId="0" fontId="7" fillId="0" borderId="0"/>
    <xf numFmtId="0" fontId="1" fillId="0" borderId="0"/>
    <xf numFmtId="0" fontId="7" fillId="0" borderId="0"/>
    <xf numFmtId="0" fontId="7" fillId="0" borderId="0"/>
    <xf numFmtId="0" fontId="9" fillId="0" borderId="0"/>
    <xf numFmtId="0" fontId="6" fillId="0" borderId="0"/>
    <xf numFmtId="164" fontId="2" fillId="0" borderId="0" applyFont="0" applyFill="0" applyBorder="0" applyAlignment="0" applyProtection="0"/>
    <xf numFmtId="165" fontId="2"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67" fontId="7" fillId="0" borderId="0" applyFont="0" applyFill="0" applyBorder="0" applyAlignment="0" applyProtection="0"/>
    <xf numFmtId="43" fontId="1" fillId="0" borderId="0" applyFont="0" applyFill="0" applyBorder="0" applyAlignment="0" applyProtection="0"/>
    <xf numFmtId="165" fontId="9" fillId="0" borderId="0" applyFont="0" applyFill="0" applyBorder="0" applyAlignment="0" applyProtection="0"/>
    <xf numFmtId="0" fontId="15" fillId="0" borderId="0"/>
    <xf numFmtId="0" fontId="23" fillId="0" borderId="0"/>
    <xf numFmtId="43" fontId="23" fillId="0" borderId="0" applyFont="0" applyFill="0" applyBorder="0" applyAlignment="0" applyProtection="0"/>
  </cellStyleXfs>
  <cellXfs count="229">
    <xf numFmtId="0" fontId="0" fillId="0" borderId="0" xfId="0"/>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0" xfId="0" applyFont="1" applyFill="1" applyAlignment="1">
      <alignment horizontal="center" vertical="center"/>
    </xf>
    <xf numFmtId="0" fontId="4" fillId="0" borderId="1" xfId="0" applyFont="1" applyFill="1" applyBorder="1" applyAlignment="1">
      <alignment horizontal="justify" vertical="center" wrapText="1"/>
    </xf>
    <xf numFmtId="49" fontId="4" fillId="0" borderId="1" xfId="0" applyNumberFormat="1" applyFont="1" applyFill="1" applyBorder="1" applyAlignment="1">
      <alignment horizontal="center" vertical="center"/>
    </xf>
    <xf numFmtId="4" fontId="4" fillId="0" borderId="1" xfId="0" applyNumberFormat="1" applyFont="1" applyFill="1" applyBorder="1" applyAlignment="1">
      <alignment vertical="center"/>
    </xf>
    <xf numFmtId="4" fontId="4" fillId="0" borderId="1" xfId="0" applyNumberFormat="1" applyFont="1" applyFill="1" applyBorder="1" applyAlignment="1">
      <alignment vertical="center" wrapText="1"/>
    </xf>
    <xf numFmtId="0" fontId="4" fillId="0" borderId="1" xfId="0" applyFont="1" applyFill="1" applyBorder="1" applyAlignment="1">
      <alignment horizontal="left" vertical="center" wrapText="1"/>
    </xf>
    <xf numFmtId="4" fontId="4" fillId="0" borderId="1" xfId="0" applyNumberFormat="1" applyFont="1" applyFill="1" applyBorder="1" applyAlignment="1">
      <alignment horizontal="right"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4" fontId="3" fillId="0" borderId="1" xfId="0" applyNumberFormat="1" applyFont="1" applyFill="1" applyBorder="1" applyAlignment="1">
      <alignment vertical="center"/>
    </xf>
    <xf numFmtId="0" fontId="4" fillId="0" borderId="0" xfId="0" applyFont="1" applyFill="1" applyBorder="1" applyAlignment="1">
      <alignment horizontal="right" vertical="center"/>
    </xf>
    <xf numFmtId="0" fontId="3" fillId="0" borderId="0" xfId="0" applyFont="1" applyFill="1" applyBorder="1" applyAlignment="1">
      <alignment horizontal="left"/>
    </xf>
    <xf numFmtId="4" fontId="4" fillId="0" borderId="0" xfId="0" applyNumberFormat="1" applyFont="1" applyFill="1" applyBorder="1"/>
    <xf numFmtId="0" fontId="4" fillId="0" borderId="0" xfId="0" applyFont="1" applyFill="1" applyBorder="1" applyAlignment="1">
      <alignment horizontal="justify" wrapText="1"/>
    </xf>
    <xf numFmtId="0" fontId="4" fillId="0" borderId="0" xfId="0" applyFont="1" applyFill="1"/>
    <xf numFmtId="2" fontId="4" fillId="0" borderId="1" xfId="0" applyNumberFormat="1" applyFont="1" applyFill="1" applyBorder="1" applyAlignment="1">
      <alignment horizontal="left" vertical="top" wrapText="1"/>
    </xf>
    <xf numFmtId="0" fontId="4" fillId="0" borderId="1" xfId="1" applyFont="1" applyFill="1" applyBorder="1" applyAlignment="1">
      <alignment horizontal="left" vertical="top" wrapText="1"/>
    </xf>
    <xf numFmtId="0" fontId="3" fillId="0" borderId="0" xfId="0" applyFont="1" applyFill="1"/>
    <xf numFmtId="49" fontId="4" fillId="0" borderId="0" xfId="0" applyNumberFormat="1" applyFont="1" applyFill="1"/>
    <xf numFmtId="4" fontId="4" fillId="0" borderId="0" xfId="0" applyNumberFormat="1" applyFont="1" applyFill="1"/>
    <xf numFmtId="2" fontId="4" fillId="0" borderId="0" xfId="0" applyNumberFormat="1" applyFont="1" applyFill="1"/>
    <xf numFmtId="0" fontId="4" fillId="0" borderId="0" xfId="0" applyFont="1" applyFill="1" applyBorder="1"/>
    <xf numFmtId="0" fontId="2" fillId="0" borderId="0" xfId="1" applyFont="1" applyFill="1"/>
    <xf numFmtId="49" fontId="10" fillId="0" borderId="0" xfId="1" applyNumberFormat="1" applyFont="1" applyFill="1" applyAlignment="1">
      <alignment horizontal="center" vertical="top"/>
    </xf>
    <xf numFmtId="0" fontId="12" fillId="0" borderId="0" xfId="1" applyNumberFormat="1" applyFont="1" applyFill="1" applyAlignment="1">
      <alignment vertical="center"/>
    </xf>
    <xf numFmtId="49" fontId="12" fillId="0" borderId="0" xfId="1" applyNumberFormat="1" applyFont="1" applyFill="1" applyAlignment="1">
      <alignment horizontal="center"/>
    </xf>
    <xf numFmtId="0" fontId="11" fillId="0" borderId="0" xfId="1" quotePrefix="1" applyFont="1" applyFill="1" applyAlignment="1">
      <alignment wrapText="1"/>
    </xf>
    <xf numFmtId="0" fontId="16" fillId="0" borderId="0" xfId="1" applyFont="1" applyFill="1"/>
    <xf numFmtId="0" fontId="10" fillId="0" borderId="1" xfId="1" applyNumberFormat="1" applyFont="1" applyFill="1" applyBorder="1" applyAlignment="1">
      <alignment horizontal="center" vertical="center" wrapText="1"/>
    </xf>
    <xf numFmtId="0" fontId="12" fillId="0" borderId="1" xfId="1" applyNumberFormat="1" applyFont="1" applyFill="1" applyBorder="1" applyAlignment="1">
      <alignment horizontal="center" vertical="center" wrapText="1"/>
    </xf>
    <xf numFmtId="49" fontId="12" fillId="0" borderId="1" xfId="1" applyNumberFormat="1" applyFont="1" applyFill="1" applyBorder="1" applyAlignment="1">
      <alignment horizontal="center" vertical="center" wrapText="1"/>
    </xf>
    <xf numFmtId="166" fontId="12"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top" wrapText="1"/>
    </xf>
    <xf numFmtId="0" fontId="16" fillId="0" borderId="1" xfId="1" applyFont="1" applyFill="1" applyBorder="1" applyAlignment="1">
      <alignment horizontal="center"/>
    </xf>
    <xf numFmtId="49" fontId="10" fillId="0" borderId="1" xfId="1" applyNumberFormat="1" applyFont="1" applyFill="1" applyBorder="1" applyAlignment="1">
      <alignment horizontal="center" vertical="center" wrapText="1"/>
    </xf>
    <xf numFmtId="2" fontId="11" fillId="0" borderId="1" xfId="1" applyNumberFormat="1" applyFont="1" applyFill="1" applyBorder="1" applyAlignment="1">
      <alignment vertical="center" wrapText="1"/>
    </xf>
    <xf numFmtId="49" fontId="11" fillId="0" borderId="1" xfId="1" applyNumberFormat="1" applyFont="1" applyFill="1" applyBorder="1" applyAlignment="1">
      <alignment horizontal="center" vertical="center" wrapText="1"/>
    </xf>
    <xf numFmtId="4" fontId="11" fillId="0" borderId="1" xfId="1" applyNumberFormat="1" applyFont="1" applyFill="1" applyBorder="1" applyAlignment="1">
      <alignment vertical="center" wrapText="1"/>
    </xf>
    <xf numFmtId="0" fontId="2" fillId="0" borderId="0" xfId="1" applyFont="1" applyFill="1" applyAlignment="1">
      <alignment vertical="center"/>
    </xf>
    <xf numFmtId="49" fontId="17" fillId="0" borderId="1" xfId="1" applyNumberFormat="1" applyFont="1" applyFill="1" applyBorder="1" applyAlignment="1">
      <alignment horizontal="center" vertical="center" wrapText="1"/>
    </xf>
    <xf numFmtId="2" fontId="12" fillId="0" borderId="1" xfId="1" applyNumberFormat="1" applyFont="1" applyFill="1" applyBorder="1" applyAlignment="1">
      <alignment vertical="center" wrapText="1"/>
    </xf>
    <xf numFmtId="4" fontId="12" fillId="0" borderId="1" xfId="1" applyNumberFormat="1" applyFont="1" applyFill="1" applyBorder="1" applyAlignment="1">
      <alignment vertical="center" wrapText="1"/>
    </xf>
    <xf numFmtId="0" fontId="18" fillId="0" borderId="0" xfId="1" applyFont="1" applyFill="1" applyAlignment="1">
      <alignment vertical="center"/>
    </xf>
    <xf numFmtId="4" fontId="2" fillId="0" borderId="0" xfId="1" applyNumberFormat="1" applyFont="1" applyFill="1" applyAlignment="1">
      <alignment vertical="center"/>
    </xf>
    <xf numFmtId="2" fontId="11" fillId="0" borderId="1" xfId="0" applyNumberFormat="1" applyFont="1" applyFill="1" applyBorder="1" applyAlignment="1">
      <alignment horizontal="left" vertical="top" wrapText="1"/>
    </xf>
    <xf numFmtId="0" fontId="12" fillId="0" borderId="1" xfId="7" applyFont="1" applyFill="1" applyBorder="1" applyAlignment="1">
      <alignment vertical="center" wrapText="1"/>
    </xf>
    <xf numFmtId="4" fontId="11" fillId="0" borderId="3" xfId="1" applyNumberFormat="1" applyFont="1" applyFill="1" applyBorder="1" applyAlignment="1">
      <alignment vertical="center" wrapText="1"/>
    </xf>
    <xf numFmtId="49" fontId="11" fillId="0" borderId="3" xfId="1" applyNumberFormat="1" applyFont="1" applyFill="1" applyBorder="1" applyAlignment="1">
      <alignment horizontal="center" vertical="center" wrapText="1"/>
    </xf>
    <xf numFmtId="49" fontId="12" fillId="0" borderId="3" xfId="1" applyNumberFormat="1" applyFont="1" applyFill="1" applyBorder="1" applyAlignment="1">
      <alignment horizontal="center" vertical="center" wrapText="1"/>
    </xf>
    <xf numFmtId="4" fontId="12" fillId="0" borderId="0" xfId="1" applyNumberFormat="1" applyFont="1" applyFill="1"/>
    <xf numFmtId="0" fontId="12" fillId="0" borderId="0" xfId="1" applyFont="1" applyFill="1"/>
    <xf numFmtId="0" fontId="12" fillId="0" borderId="1" xfId="1" applyFont="1" applyFill="1" applyBorder="1" applyAlignment="1">
      <alignment horizontal="center" vertical="center"/>
    </xf>
    <xf numFmtId="0" fontId="12" fillId="0" borderId="1" xfId="1" applyFont="1" applyFill="1" applyBorder="1" applyAlignment="1">
      <alignment horizontal="center" vertical="center" wrapText="1"/>
    </xf>
    <xf numFmtId="0" fontId="12" fillId="0" borderId="1" xfId="1" applyFont="1" applyFill="1" applyBorder="1" applyAlignment="1">
      <alignment vertical="center" wrapText="1"/>
    </xf>
    <xf numFmtId="3" fontId="12" fillId="0" borderId="1" xfId="1" applyNumberFormat="1" applyFont="1" applyFill="1" applyBorder="1" applyAlignment="1">
      <alignment horizontal="center" vertical="center"/>
    </xf>
    <xf numFmtId="49" fontId="12" fillId="0" borderId="1" xfId="1" applyNumberFormat="1" applyFont="1" applyFill="1" applyBorder="1" applyAlignment="1">
      <alignment horizontal="center" vertical="center"/>
    </xf>
    <xf numFmtId="0" fontId="12" fillId="0" borderId="0" xfId="1" applyFont="1" applyFill="1" applyAlignment="1">
      <alignment horizontal="center"/>
    </xf>
    <xf numFmtId="0" fontId="12" fillId="0" borderId="0" xfId="1" applyFont="1" applyFill="1" applyAlignment="1">
      <alignment horizontal="left" wrapText="1"/>
    </xf>
    <xf numFmtId="0" fontId="4" fillId="0" borderId="1" xfId="0" applyFont="1" applyFill="1" applyBorder="1" applyAlignment="1">
      <alignment horizontal="justify" vertical="center"/>
    </xf>
    <xf numFmtId="49" fontId="3" fillId="0" borderId="1" xfId="0" applyNumberFormat="1" applyFont="1" applyFill="1" applyBorder="1" applyAlignment="1">
      <alignment vertical="center"/>
    </xf>
    <xf numFmtId="2" fontId="4" fillId="0" borderId="0" xfId="0" applyNumberFormat="1" applyFont="1" applyFill="1" applyBorder="1" applyAlignment="1"/>
    <xf numFmtId="4" fontId="4" fillId="0" borderId="0" xfId="0" applyNumberFormat="1" applyFont="1" applyFill="1" applyBorder="1" applyAlignment="1"/>
    <xf numFmtId="2" fontId="4" fillId="0" borderId="1" xfId="0" applyNumberFormat="1" applyFont="1" applyFill="1" applyBorder="1" applyAlignment="1">
      <alignment horizontal="justify" vertical="center" wrapText="1"/>
    </xf>
    <xf numFmtId="2" fontId="3" fillId="0" borderId="1" xfId="0" applyNumberFormat="1" applyFont="1" applyFill="1" applyBorder="1" applyAlignment="1">
      <alignment horizontal="left" vertical="top" wrapText="1"/>
    </xf>
    <xf numFmtId="49" fontId="3" fillId="0" borderId="1" xfId="1" applyNumberFormat="1" applyFont="1" applyFill="1" applyBorder="1" applyAlignment="1">
      <alignment horizontal="center" wrapText="1"/>
    </xf>
    <xf numFmtId="49" fontId="3" fillId="0" borderId="1" xfId="0" applyNumberFormat="1" applyFont="1" applyFill="1" applyBorder="1" applyAlignment="1">
      <alignment horizontal="center"/>
    </xf>
    <xf numFmtId="4" fontId="3" fillId="0" borderId="1" xfId="0" applyNumberFormat="1" applyFont="1" applyFill="1" applyBorder="1" applyAlignment="1"/>
    <xf numFmtId="0" fontId="3" fillId="0" borderId="0" xfId="0" applyFont="1" applyFill="1" applyAlignment="1">
      <alignment horizontal="center" vertical="center"/>
    </xf>
    <xf numFmtId="49" fontId="4" fillId="0" borderId="1" xfId="1" applyNumberFormat="1" applyFont="1" applyFill="1" applyBorder="1" applyAlignment="1">
      <alignment horizontal="center" wrapText="1"/>
    </xf>
    <xf numFmtId="49" fontId="4" fillId="0" borderId="1" xfId="0" applyNumberFormat="1" applyFont="1" applyFill="1" applyBorder="1" applyAlignment="1">
      <alignment horizontal="center"/>
    </xf>
    <xf numFmtId="4" fontId="4" fillId="0" borderId="1" xfId="0" applyNumberFormat="1" applyFont="1" applyFill="1" applyBorder="1" applyAlignment="1"/>
    <xf numFmtId="0" fontId="19" fillId="0" borderId="0" xfId="22" applyFont="1" applyFill="1" applyAlignment="1">
      <alignment wrapText="1"/>
    </xf>
    <xf numFmtId="49" fontId="19" fillId="0" borderId="0" xfId="22" applyNumberFormat="1" applyFont="1" applyFill="1" applyAlignment="1">
      <alignment wrapText="1"/>
    </xf>
    <xf numFmtId="4" fontId="19" fillId="0" borderId="0" xfId="22" applyNumberFormat="1" applyFont="1" applyFill="1" applyAlignment="1">
      <alignment wrapText="1"/>
    </xf>
    <xf numFmtId="49" fontId="10" fillId="0" borderId="1" xfId="22" quotePrefix="1" applyNumberFormat="1" applyFont="1" applyFill="1" applyBorder="1" applyAlignment="1">
      <alignment horizontal="center" vertical="center" textRotation="90" wrapText="1"/>
    </xf>
    <xf numFmtId="49" fontId="10" fillId="0" borderId="1" xfId="22" applyNumberFormat="1" applyFont="1" applyFill="1" applyBorder="1" applyAlignment="1">
      <alignment horizontal="left" vertical="top"/>
    </xf>
    <xf numFmtId="49" fontId="10" fillId="0" borderId="1" xfId="22" applyNumberFormat="1" applyFont="1" applyFill="1" applyBorder="1" applyAlignment="1">
      <alignment horizontal="center" vertical="top"/>
    </xf>
    <xf numFmtId="0" fontId="10" fillId="0" borderId="1" xfId="22" applyNumberFormat="1" applyFont="1" applyFill="1" applyBorder="1" applyAlignment="1">
      <alignment vertical="top" wrapText="1"/>
    </xf>
    <xf numFmtId="4" fontId="10" fillId="0" borderId="3" xfId="22" applyNumberFormat="1" applyFont="1" applyFill="1" applyBorder="1" applyAlignment="1">
      <alignment horizontal="right" vertical="center" wrapText="1"/>
    </xf>
    <xf numFmtId="4" fontId="10" fillId="0" borderId="1" xfId="22" applyNumberFormat="1" applyFont="1" applyFill="1" applyBorder="1" applyAlignment="1">
      <alignment vertical="top"/>
    </xf>
    <xf numFmtId="49" fontId="10" fillId="0" borderId="1" xfId="23" applyNumberFormat="1" applyFont="1" applyFill="1" applyBorder="1" applyAlignment="1">
      <alignment horizontal="center" vertical="justify" wrapText="1"/>
    </xf>
    <xf numFmtId="0" fontId="10" fillId="0" borderId="1" xfId="22" applyFont="1" applyFill="1" applyBorder="1" applyAlignment="1">
      <alignment horizontal="justify" vertical="justify" wrapText="1"/>
    </xf>
    <xf numFmtId="49" fontId="10" fillId="0" borderId="1" xfId="23" applyNumberFormat="1" applyFont="1" applyFill="1" applyBorder="1" applyAlignment="1">
      <alignment horizontal="center" vertical="top"/>
    </xf>
    <xf numFmtId="0" fontId="10" fillId="0" borderId="1" xfId="22" applyFont="1" applyFill="1" applyBorder="1" applyAlignment="1">
      <alignment horizontal="justify" wrapText="1"/>
    </xf>
    <xf numFmtId="0" fontId="10" fillId="0" borderId="1" xfId="22" applyFont="1" applyFill="1" applyBorder="1" applyAlignment="1">
      <alignment horizontal="left" wrapText="1"/>
    </xf>
    <xf numFmtId="49" fontId="10" fillId="0" borderId="1" xfId="18" applyNumberFormat="1" applyFont="1" applyFill="1" applyBorder="1" applyAlignment="1">
      <alignment horizontal="center" vertical="top"/>
    </xf>
    <xf numFmtId="0" fontId="10" fillId="0" borderId="1" xfId="22" applyFont="1" applyFill="1" applyBorder="1" applyAlignment="1">
      <alignment horizontal="justify" vertical="top" wrapText="1"/>
    </xf>
    <xf numFmtId="4" fontId="10" fillId="0" borderId="1" xfId="22" applyNumberFormat="1" applyFont="1" applyFill="1" applyBorder="1" applyAlignment="1">
      <alignment horizontal="right" vertical="top" wrapText="1"/>
    </xf>
    <xf numFmtId="0" fontId="10" fillId="0" borderId="1" xfId="22" applyNumberFormat="1" applyFont="1" applyFill="1" applyBorder="1" applyAlignment="1">
      <alignment horizontal="justify" vertical="top" wrapText="1"/>
    </xf>
    <xf numFmtId="49" fontId="3" fillId="0" borderId="0" xfId="0" applyNumberFormat="1" applyFont="1" applyFill="1" applyBorder="1" applyAlignment="1">
      <alignment horizontal="right" vertical="center" wrapText="1"/>
    </xf>
    <xf numFmtId="49" fontId="4" fillId="0" borderId="0" xfId="0" applyNumberFormat="1" applyFont="1" applyFill="1" applyBorder="1" applyAlignment="1">
      <alignment horizontal="right" vertical="center" wrapText="1"/>
    </xf>
    <xf numFmtId="0" fontId="4" fillId="0" borderId="0" xfId="0" applyFont="1" applyFill="1" applyAlignment="1">
      <alignment horizontal="left"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top"/>
    </xf>
    <xf numFmtId="0" fontId="3" fillId="0" borderId="1" xfId="0" applyFont="1" applyFill="1" applyBorder="1" applyAlignment="1">
      <alignment horizontal="left" vertical="top" wrapText="1"/>
    </xf>
    <xf numFmtId="0" fontId="3" fillId="0" borderId="1" xfId="0" applyFont="1" applyFill="1" applyBorder="1" applyAlignment="1">
      <alignment horizontal="center"/>
    </xf>
    <xf numFmtId="4" fontId="3" fillId="0" borderId="1" xfId="0" applyNumberFormat="1" applyFont="1" applyFill="1" applyBorder="1" applyAlignment="1">
      <alignment horizontal="center" vertical="center"/>
    </xf>
    <xf numFmtId="0" fontId="4" fillId="0" borderId="1" xfId="0" applyFont="1" applyFill="1" applyBorder="1" applyAlignment="1">
      <alignment horizontal="left" vertical="top" wrapText="1"/>
    </xf>
    <xf numFmtId="2" fontId="4" fillId="0" borderId="1" xfId="1" applyNumberFormat="1" applyFont="1" applyFill="1" applyBorder="1" applyAlignment="1">
      <alignment horizontal="left" vertical="top" wrapText="1"/>
    </xf>
    <xf numFmtId="49" fontId="4" fillId="0" borderId="1" xfId="0" applyNumberFormat="1" applyFont="1" applyFill="1" applyBorder="1" applyAlignment="1">
      <alignment horizontal="center" wrapText="1"/>
    </xf>
    <xf numFmtId="0" fontId="4" fillId="0" borderId="1" xfId="0" applyFont="1" applyFill="1" applyBorder="1" applyAlignment="1">
      <alignment horizontal="left" vertical="top"/>
    </xf>
    <xf numFmtId="2" fontId="3" fillId="0" borderId="1" xfId="1" applyNumberFormat="1" applyFont="1" applyFill="1" applyBorder="1" applyAlignment="1">
      <alignment horizontal="left" vertical="top" wrapText="1"/>
    </xf>
    <xf numFmtId="2" fontId="4" fillId="0" borderId="1" xfId="1" applyNumberFormat="1" applyFont="1" applyFill="1" applyBorder="1" applyAlignment="1">
      <alignment horizontal="left" wrapText="1"/>
    </xf>
    <xf numFmtId="0" fontId="4" fillId="0" borderId="0" xfId="0" applyFont="1" applyFill="1" applyAlignment="1">
      <alignment horizontal="center"/>
    </xf>
    <xf numFmtId="2" fontId="4" fillId="0" borderId="1" xfId="0" applyNumberFormat="1" applyFont="1" applyFill="1" applyBorder="1" applyAlignment="1">
      <alignment horizontal="left" wrapText="1"/>
    </xf>
    <xf numFmtId="49" fontId="4" fillId="0" borderId="1" xfId="0" applyNumberFormat="1" applyFont="1" applyFill="1" applyBorder="1" applyAlignment="1">
      <alignment horizontal="center" vertical="top" wrapText="1"/>
    </xf>
    <xf numFmtId="0" fontId="3" fillId="0" borderId="3" xfId="0" applyFont="1" applyFill="1" applyBorder="1" applyAlignment="1">
      <alignment horizontal="center" vertical="center"/>
    </xf>
    <xf numFmtId="0" fontId="3" fillId="0" borderId="1" xfId="0" applyFont="1" applyFill="1" applyBorder="1" applyAlignment="1">
      <alignment horizontal="left" vertical="top"/>
    </xf>
    <xf numFmtId="49" fontId="3" fillId="0" borderId="1" xfId="0" applyNumberFormat="1" applyFont="1" applyFill="1" applyBorder="1"/>
    <xf numFmtId="0" fontId="3" fillId="0" borderId="1" xfId="0" applyFont="1" applyFill="1" applyBorder="1"/>
    <xf numFmtId="0" fontId="4" fillId="0" borderId="0" xfId="0" applyFont="1" applyFill="1" applyBorder="1" applyAlignment="1">
      <alignment vertical="center"/>
    </xf>
    <xf numFmtId="0" fontId="4" fillId="0" borderId="0" xfId="0" applyFont="1" applyFill="1" applyAlignment="1">
      <alignment horizontal="justify"/>
    </xf>
    <xf numFmtId="4" fontId="3" fillId="0" borderId="0" xfId="0" applyNumberFormat="1" applyFont="1" applyFill="1" applyBorder="1" applyAlignment="1"/>
    <xf numFmtId="0" fontId="4" fillId="0" borderId="0" xfId="0" applyNumberFormat="1" applyFont="1" applyFill="1" applyBorder="1" applyAlignment="1">
      <alignment horizontal="justify" vertical="center" wrapText="1"/>
    </xf>
    <xf numFmtId="4" fontId="13" fillId="0" borderId="1" xfId="10" applyNumberFormat="1" applyFont="1" applyFill="1" applyBorder="1" applyAlignment="1">
      <alignment horizontal="right" vertical="top" wrapText="1"/>
    </xf>
    <xf numFmtId="0" fontId="4" fillId="0" borderId="0" xfId="0" applyFont="1" applyFill="1" applyAlignment="1">
      <alignment vertical="center"/>
    </xf>
    <xf numFmtId="0" fontId="4" fillId="0" borderId="1" xfId="1" applyFont="1" applyFill="1" applyBorder="1" applyAlignment="1">
      <alignment horizontal="justify" vertical="center" wrapText="1"/>
    </xf>
    <xf numFmtId="4" fontId="4" fillId="0" borderId="4" xfId="1" applyNumberFormat="1" applyFont="1" applyFill="1" applyBorder="1" applyAlignment="1">
      <alignment horizontal="center" vertical="center"/>
    </xf>
    <xf numFmtId="4" fontId="10" fillId="0" borderId="0" xfId="22" applyNumberFormat="1" applyFont="1" applyFill="1" applyAlignment="1">
      <alignment horizontal="right" wrapText="1"/>
    </xf>
    <xf numFmtId="0" fontId="10" fillId="0" borderId="1" xfId="22" quotePrefix="1" applyFont="1" applyFill="1" applyBorder="1" applyAlignment="1">
      <alignment horizontal="justify" vertical="top" wrapText="1"/>
    </xf>
    <xf numFmtId="0" fontId="12" fillId="0" borderId="1" xfId="3" applyFont="1" applyFill="1" applyBorder="1" applyAlignment="1">
      <alignment horizontal="center" vertical="top" wrapText="1"/>
    </xf>
    <xf numFmtId="49" fontId="4" fillId="0" borderId="0" xfId="0" applyNumberFormat="1" applyFont="1" applyFill="1" applyBorder="1" applyAlignment="1">
      <alignment horizontal="right" wrapText="1"/>
    </xf>
    <xf numFmtId="0" fontId="3" fillId="0" borderId="0" xfId="0" applyFont="1" applyFill="1" applyAlignment="1">
      <alignment horizontal="center" vertical="center" wrapText="1"/>
    </xf>
    <xf numFmtId="0" fontId="7" fillId="0" borderId="0" xfId="3" applyFont="1" applyFill="1"/>
    <xf numFmtId="0" fontId="12" fillId="0" borderId="0" xfId="3" applyFont="1" applyFill="1" applyAlignment="1">
      <alignment horizontal="right"/>
    </xf>
    <xf numFmtId="0" fontId="12" fillId="0" borderId="0" xfId="3" applyFont="1" applyFill="1"/>
    <xf numFmtId="0" fontId="12" fillId="0" borderId="0" xfId="3" applyFont="1" applyFill="1" applyAlignment="1">
      <alignment vertical="center"/>
    </xf>
    <xf numFmtId="0" fontId="12" fillId="0" borderId="1" xfId="3" applyFont="1" applyFill="1" applyBorder="1" applyAlignment="1">
      <alignment horizontal="center" vertical="center" wrapText="1"/>
    </xf>
    <xf numFmtId="0" fontId="12" fillId="0" borderId="2" xfId="3" applyFont="1" applyFill="1" applyBorder="1" applyAlignment="1">
      <alignment horizontal="center" vertical="center" wrapText="1"/>
    </xf>
    <xf numFmtId="0" fontId="12" fillId="0" borderId="1" xfId="3" applyFont="1" applyFill="1" applyBorder="1" applyAlignment="1">
      <alignment horizontal="justify" vertical="top" wrapText="1"/>
    </xf>
    <xf numFmtId="4" fontId="12" fillId="0" borderId="1" xfId="3" applyNumberFormat="1" applyFont="1" applyFill="1" applyBorder="1" applyAlignment="1">
      <alignment horizontal="right" vertical="top" wrapText="1"/>
    </xf>
    <xf numFmtId="0" fontId="11" fillId="0" borderId="0" xfId="3" applyFont="1" applyFill="1" applyAlignment="1">
      <alignment horizontal="center"/>
    </xf>
    <xf numFmtId="0" fontId="4" fillId="0" borderId="0" xfId="1" applyFont="1" applyFill="1"/>
    <xf numFmtId="0" fontId="4" fillId="0" borderId="1" xfId="1" applyFont="1" applyFill="1" applyBorder="1" applyAlignment="1">
      <alignment horizontal="center" vertical="center" wrapText="1"/>
    </xf>
    <xf numFmtId="0" fontId="4" fillId="0" borderId="4"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1" xfId="1" applyFont="1" applyFill="1" applyBorder="1"/>
    <xf numFmtId="0" fontId="4" fillId="0" borderId="0" xfId="1" applyFont="1" applyFill="1" applyAlignment="1">
      <alignment horizontal="center" wrapText="1"/>
    </xf>
    <xf numFmtId="0" fontId="4" fillId="0" borderId="0" xfId="1" applyFont="1" applyFill="1" applyAlignment="1">
      <alignment horizontal="center"/>
    </xf>
    <xf numFmtId="4" fontId="4" fillId="0" borderId="1" xfId="1" applyNumberFormat="1" applyFont="1" applyFill="1" applyBorder="1" applyAlignment="1">
      <alignment horizontal="center" vertical="center"/>
    </xf>
    <xf numFmtId="3" fontId="4" fillId="0" borderId="1" xfId="1" applyNumberFormat="1" applyFont="1" applyFill="1" applyBorder="1"/>
    <xf numFmtId="4" fontId="4" fillId="0" borderId="0" xfId="1" applyNumberFormat="1" applyFont="1" applyFill="1"/>
    <xf numFmtId="0" fontId="4" fillId="0" borderId="1" xfId="1" applyNumberFormat="1" applyFont="1" applyFill="1" applyBorder="1" applyAlignment="1">
      <alignment horizontal="justify" vertical="center" wrapText="1"/>
    </xf>
    <xf numFmtId="0" fontId="4" fillId="0" borderId="1" xfId="1" applyNumberFormat="1" applyFont="1" applyFill="1" applyBorder="1" applyAlignment="1">
      <alignment horizontal="left" vertical="center" wrapText="1"/>
    </xf>
    <xf numFmtId="0" fontId="4" fillId="0" borderId="0" xfId="1" applyNumberFormat="1" applyFont="1" applyFill="1" applyAlignment="1">
      <alignment horizontal="justify" vertical="center" wrapText="1"/>
    </xf>
    <xf numFmtId="0" fontId="4" fillId="0" borderId="1" xfId="1" applyFont="1" applyFill="1" applyBorder="1" applyAlignment="1">
      <alignment horizontal="center"/>
    </xf>
    <xf numFmtId="0" fontId="3" fillId="0" borderId="1" xfId="1" applyFont="1" applyFill="1" applyBorder="1" applyAlignment="1">
      <alignment horizontal="right" wrapText="1"/>
    </xf>
    <xf numFmtId="4" fontId="3" fillId="0" borderId="4" xfId="1" applyNumberFormat="1" applyFont="1" applyFill="1" applyBorder="1" applyAlignment="1">
      <alignment horizontal="center" vertical="center"/>
    </xf>
    <xf numFmtId="4" fontId="3" fillId="0" borderId="1" xfId="1" applyNumberFormat="1" applyFont="1" applyFill="1" applyBorder="1" applyAlignment="1">
      <alignment horizontal="center" vertical="center"/>
    </xf>
    <xf numFmtId="0" fontId="4" fillId="0" borderId="0" xfId="1" applyFont="1" applyFill="1" applyAlignment="1">
      <alignment horizontal="left" wrapText="1"/>
    </xf>
    <xf numFmtId="4" fontId="4" fillId="0" borderId="0" xfId="1" applyNumberFormat="1" applyFont="1" applyFill="1" applyAlignment="1">
      <alignment horizontal="center"/>
    </xf>
    <xf numFmtId="4" fontId="3" fillId="0" borderId="0" xfId="1" applyNumberFormat="1" applyFont="1" applyFill="1" applyAlignment="1">
      <alignment horizontal="center"/>
    </xf>
    <xf numFmtId="4" fontId="4" fillId="0" borderId="1" xfId="0" applyNumberFormat="1" applyFont="1" applyFill="1" applyBorder="1" applyAlignment="1">
      <alignment horizontal="right"/>
    </xf>
    <xf numFmtId="0" fontId="25" fillId="0" borderId="0" xfId="22" applyFont="1" applyFill="1"/>
    <xf numFmtId="49" fontId="25" fillId="0" borderId="0" xfId="22" applyNumberFormat="1" applyFont="1" applyFill="1"/>
    <xf numFmtId="0" fontId="26" fillId="0" borderId="0" xfId="22" applyFont="1" applyFill="1"/>
    <xf numFmtId="4" fontId="25" fillId="0" borderId="0" xfId="22" applyNumberFormat="1" applyFont="1" applyFill="1"/>
    <xf numFmtId="49" fontId="10" fillId="0" borderId="1" xfId="22" applyNumberFormat="1" applyFont="1" applyFill="1" applyBorder="1" applyAlignment="1">
      <alignment horizontal="center" vertical="justify"/>
    </xf>
    <xf numFmtId="0" fontId="10" fillId="0" borderId="1" xfId="22" applyNumberFormat="1" applyFont="1" applyFill="1" applyBorder="1" applyAlignment="1">
      <alignment vertical="justify" wrapText="1"/>
    </xf>
    <xf numFmtId="49" fontId="10" fillId="0" borderId="1" xfId="10" applyNumberFormat="1" applyFont="1" applyFill="1" applyBorder="1" applyAlignment="1">
      <alignment horizontal="center" vertical="top"/>
    </xf>
    <xf numFmtId="0" fontId="10" fillId="0" borderId="1" xfId="10" applyNumberFormat="1" applyFont="1" applyFill="1" applyBorder="1" applyAlignment="1">
      <alignment horizontal="left" vertical="top" wrapText="1"/>
    </xf>
    <xf numFmtId="4" fontId="10" fillId="0" borderId="1" xfId="10" applyNumberFormat="1" applyFont="1" applyFill="1" applyBorder="1" applyAlignment="1">
      <alignment vertical="center"/>
    </xf>
    <xf numFmtId="0" fontId="9" fillId="0" borderId="0" xfId="10" applyFont="1" applyFill="1"/>
    <xf numFmtId="0" fontId="10" fillId="0" borderId="9" xfId="22" applyFont="1" applyFill="1" applyBorder="1" applyAlignment="1">
      <alignment horizontal="justify" vertical="top" wrapText="1"/>
    </xf>
    <xf numFmtId="4" fontId="16" fillId="0" borderId="0" xfId="1" applyNumberFormat="1" applyFont="1" applyFill="1"/>
    <xf numFmtId="0" fontId="28" fillId="0" borderId="0" xfId="0" applyFont="1" applyFill="1"/>
    <xf numFmtId="0" fontId="0" fillId="0" borderId="0" xfId="0" applyFill="1"/>
    <xf numFmtId="0" fontId="10" fillId="0" borderId="3" xfId="22" applyNumberFormat="1" applyFont="1" applyFill="1" applyBorder="1" applyAlignment="1">
      <alignment horizontal="center" vertical="center" wrapText="1"/>
    </xf>
    <xf numFmtId="49" fontId="10" fillId="0" borderId="1" xfId="22" applyNumberFormat="1" applyFont="1" applyFill="1" applyBorder="1" applyAlignment="1">
      <alignment horizontal="center" vertical="center" textRotation="90" wrapText="1"/>
    </xf>
    <xf numFmtId="49" fontId="3" fillId="0" borderId="0" xfId="0" applyNumberFormat="1" applyFont="1" applyFill="1" applyBorder="1" applyAlignment="1">
      <alignment horizontal="right" wrapText="1"/>
    </xf>
    <xf numFmtId="49" fontId="4" fillId="0" borderId="0" xfId="0" applyNumberFormat="1" applyFont="1" applyFill="1" applyBorder="1" applyAlignment="1">
      <alignment horizontal="right" wrapText="1"/>
    </xf>
    <xf numFmtId="0" fontId="4" fillId="0" borderId="0" xfId="0" applyFont="1" applyFill="1" applyAlignment="1">
      <alignment horizontal="left"/>
    </xf>
    <xf numFmtId="0" fontId="10" fillId="0" borderId="1" xfId="22" quotePrefix="1" applyNumberFormat="1" applyFont="1" applyFill="1" applyBorder="1" applyAlignment="1">
      <alignment vertical="top" wrapText="1"/>
    </xf>
    <xf numFmtId="4" fontId="27" fillId="0" borderId="1" xfId="22" applyNumberFormat="1" applyFont="1" applyFill="1" applyBorder="1" applyAlignment="1">
      <alignment vertical="top"/>
    </xf>
    <xf numFmtId="0" fontId="12" fillId="0" borderId="4" xfId="3" applyFont="1" applyFill="1" applyBorder="1" applyAlignment="1">
      <alignment horizontal="left" vertical="top" wrapText="1"/>
    </xf>
    <xf numFmtId="0" fontId="12" fillId="0" borderId="6" xfId="3" applyFont="1" applyFill="1" applyBorder="1" applyAlignment="1">
      <alignment horizontal="left" vertical="top" wrapText="1"/>
    </xf>
    <xf numFmtId="0" fontId="12" fillId="0" borderId="5" xfId="3" applyFont="1" applyFill="1" applyBorder="1" applyAlignment="1">
      <alignment horizontal="left" vertical="top" wrapText="1"/>
    </xf>
    <xf numFmtId="0" fontId="12" fillId="0" borderId="0" xfId="3" applyFont="1" applyFill="1" applyAlignment="1">
      <alignment horizontal="right" wrapText="1"/>
    </xf>
    <xf numFmtId="0" fontId="24" fillId="0" borderId="0" xfId="0" applyFont="1" applyFill="1" applyAlignment="1">
      <alignment wrapText="1"/>
    </xf>
    <xf numFmtId="0" fontId="11" fillId="0" borderId="0" xfId="3" applyFont="1" applyFill="1" applyAlignment="1">
      <alignment horizontal="center" wrapText="1"/>
    </xf>
    <xf numFmtId="0" fontId="12" fillId="0" borderId="0" xfId="0" applyFont="1" applyFill="1" applyAlignment="1">
      <alignment wrapText="1"/>
    </xf>
    <xf numFmtId="0" fontId="11" fillId="0" borderId="7" xfId="3" applyFont="1" applyFill="1" applyBorder="1" applyAlignment="1">
      <alignment horizontal="right" wrapText="1"/>
    </xf>
    <xf numFmtId="0" fontId="12" fillId="0" borderId="7" xfId="0" applyFont="1" applyFill="1" applyBorder="1" applyAlignment="1">
      <alignment wrapText="1"/>
    </xf>
    <xf numFmtId="0" fontId="12" fillId="0" borderId="2" xfId="3" applyFont="1" applyFill="1" applyBorder="1" applyAlignment="1">
      <alignment horizontal="center" vertical="center" wrapText="1"/>
    </xf>
    <xf numFmtId="0" fontId="12" fillId="0" borderId="3" xfId="3" applyFont="1" applyFill="1" applyBorder="1" applyAlignment="1">
      <alignment horizontal="center" vertical="center" wrapText="1"/>
    </xf>
    <xf numFmtId="0" fontId="12" fillId="0" borderId="4" xfId="3" applyFont="1" applyFill="1" applyBorder="1" applyAlignment="1">
      <alignment horizontal="center" vertical="center" wrapText="1"/>
    </xf>
    <xf numFmtId="0" fontId="12" fillId="0" borderId="6" xfId="3" applyFont="1" applyFill="1" applyBorder="1" applyAlignment="1">
      <alignment horizontal="center" vertical="center" wrapText="1"/>
    </xf>
    <xf numFmtId="0" fontId="12" fillId="0" borderId="5" xfId="3" applyFont="1" applyFill="1" applyBorder="1" applyAlignment="1">
      <alignment horizontal="center" vertical="center" wrapText="1"/>
    </xf>
    <xf numFmtId="0" fontId="10" fillId="0" borderId="2" xfId="22" applyNumberFormat="1" applyFont="1" applyFill="1" applyBorder="1" applyAlignment="1">
      <alignment horizontal="center" vertical="center" wrapText="1"/>
    </xf>
    <xf numFmtId="0" fontId="10" fillId="0" borderId="8" xfId="22" applyNumberFormat="1" applyFont="1" applyFill="1" applyBorder="1" applyAlignment="1">
      <alignment horizontal="center" vertical="center" wrapText="1"/>
    </xf>
    <xf numFmtId="0" fontId="10" fillId="0" borderId="3" xfId="22" applyNumberFormat="1" applyFont="1" applyFill="1" applyBorder="1" applyAlignment="1">
      <alignment horizontal="center" vertical="center" wrapText="1"/>
    </xf>
    <xf numFmtId="49" fontId="10" fillId="0" borderId="1" xfId="22" applyNumberFormat="1" applyFont="1" applyFill="1" applyBorder="1" applyAlignment="1">
      <alignment horizontal="center" vertical="center" wrapText="1"/>
    </xf>
    <xf numFmtId="166" fontId="10" fillId="0" borderId="0" xfId="22" applyNumberFormat="1" applyFont="1" applyFill="1" applyBorder="1" applyAlignment="1">
      <alignment horizontal="right" vertical="top" wrapText="1"/>
    </xf>
    <xf numFmtId="0" fontId="20" fillId="0" borderId="0" xfId="0" applyFont="1" applyFill="1" applyAlignment="1">
      <alignment wrapText="1"/>
    </xf>
    <xf numFmtId="0" fontId="10" fillId="0" borderId="0" xfId="22" applyFont="1" applyFill="1" applyAlignment="1">
      <alignment horizontal="center" wrapText="1"/>
    </xf>
    <xf numFmtId="0" fontId="10" fillId="0" borderId="1" xfId="22" applyFont="1" applyFill="1" applyBorder="1" applyAlignment="1">
      <alignment horizontal="center" vertical="center" textRotation="90" wrapText="1"/>
    </xf>
    <xf numFmtId="49" fontId="10" fillId="0" borderId="1" xfId="22" applyNumberFormat="1" applyFont="1" applyFill="1" applyBorder="1" applyAlignment="1">
      <alignment horizontal="center" vertical="center" textRotation="90" wrapText="1"/>
    </xf>
    <xf numFmtId="49" fontId="4" fillId="0" borderId="7" xfId="0" applyNumberFormat="1" applyFont="1" applyFill="1" applyBorder="1" applyAlignment="1">
      <alignment horizontal="right"/>
    </xf>
    <xf numFmtId="49" fontId="3" fillId="0" borderId="0" xfId="0" applyNumberFormat="1" applyFont="1" applyFill="1" applyBorder="1" applyAlignment="1">
      <alignment horizontal="right" wrapText="1"/>
    </xf>
    <xf numFmtId="49" fontId="4" fillId="0" borderId="0" xfId="0" applyNumberFormat="1" applyFont="1" applyFill="1" applyBorder="1" applyAlignment="1">
      <alignment horizontal="right" wrapText="1"/>
    </xf>
    <xf numFmtId="2" fontId="4" fillId="0" borderId="0" xfId="9" applyNumberFormat="1" applyFont="1" applyFill="1" applyAlignment="1">
      <alignment horizontal="right" vertical="center" wrapText="1"/>
    </xf>
    <xf numFmtId="49" fontId="4" fillId="0" borderId="0" xfId="0" applyNumberFormat="1" applyFont="1" applyFill="1" applyBorder="1" applyAlignment="1">
      <alignment horizontal="left" wrapText="1"/>
    </xf>
    <xf numFmtId="0" fontId="3" fillId="0" borderId="0" xfId="0" applyFont="1" applyFill="1" applyAlignment="1">
      <alignment horizontal="center" vertical="center" wrapText="1"/>
    </xf>
    <xf numFmtId="0" fontId="14" fillId="0" borderId="0" xfId="0" applyFont="1" applyFill="1" applyBorder="1" applyAlignment="1">
      <alignment horizontal="center" vertical="center" wrapText="1"/>
    </xf>
    <xf numFmtId="49" fontId="4" fillId="0" borderId="7" xfId="0" applyNumberFormat="1" applyFont="1" applyFill="1" applyBorder="1" applyAlignment="1">
      <alignment horizontal="right" wrapText="1"/>
    </xf>
    <xf numFmtId="0" fontId="20" fillId="0" borderId="7" xfId="0" applyFont="1" applyFill="1" applyBorder="1" applyAlignment="1">
      <alignment wrapText="1"/>
    </xf>
    <xf numFmtId="0" fontId="3" fillId="0" borderId="0" xfId="0" applyFont="1" applyFill="1" applyAlignment="1">
      <alignment horizontal="right" vertical="center" wrapText="1"/>
    </xf>
    <xf numFmtId="0" fontId="4" fillId="0" borderId="0" xfId="0" applyFont="1" applyFill="1" applyAlignment="1">
      <alignment horizontal="right" vertical="center" wrapText="1"/>
    </xf>
    <xf numFmtId="0" fontId="4" fillId="0" borderId="0" xfId="0" applyFont="1" applyFill="1" applyAlignment="1">
      <alignment horizontal="left"/>
    </xf>
    <xf numFmtId="0" fontId="12" fillId="0" borderId="7" xfId="1" applyFont="1" applyFill="1" applyBorder="1" applyAlignment="1">
      <alignment horizontal="right" wrapText="1"/>
    </xf>
    <xf numFmtId="0" fontId="20" fillId="0" borderId="7" xfId="0" applyFont="1" applyFill="1" applyBorder="1" applyAlignment="1">
      <alignment horizontal="right" wrapText="1"/>
    </xf>
    <xf numFmtId="0" fontId="11" fillId="0" borderId="0" xfId="1" applyFont="1" applyFill="1" applyAlignment="1">
      <alignment horizontal="right" wrapText="1"/>
    </xf>
    <xf numFmtId="0" fontId="12" fillId="0" borderId="0" xfId="4" applyFont="1" applyFill="1" applyAlignment="1">
      <alignment horizontal="right" wrapText="1"/>
    </xf>
    <xf numFmtId="0" fontId="12" fillId="0" borderId="0" xfId="21" applyFont="1" applyFill="1" applyAlignment="1">
      <alignment horizontal="right" wrapText="1"/>
    </xf>
    <xf numFmtId="0" fontId="3" fillId="0" borderId="0" xfId="1" applyFont="1" applyFill="1" applyAlignment="1">
      <alignment horizontal="center" vertical="center" wrapText="1"/>
    </xf>
    <xf numFmtId="0" fontId="3" fillId="0" borderId="0" xfId="1" applyFont="1" applyFill="1" applyAlignment="1">
      <alignment horizontal="center"/>
    </xf>
    <xf numFmtId="0" fontId="3" fillId="0" borderId="0" xfId="1" applyFont="1" applyFill="1" applyAlignment="1">
      <alignment horizontal="right" vertical="center" wrapText="1"/>
    </xf>
    <xf numFmtId="0" fontId="21" fillId="0" borderId="0" xfId="0" applyFont="1" applyFill="1" applyAlignment="1">
      <alignment wrapText="1"/>
    </xf>
    <xf numFmtId="0" fontId="4" fillId="0" borderId="0" xfId="1" applyFont="1" applyFill="1" applyAlignment="1">
      <alignment horizontal="right" vertical="center" wrapText="1"/>
    </xf>
    <xf numFmtId="0" fontId="5" fillId="0" borderId="7" xfId="1" applyFont="1" applyFill="1" applyBorder="1" applyAlignment="1">
      <alignment horizontal="center" vertical="center" wrapText="1"/>
    </xf>
    <xf numFmtId="0" fontId="22" fillId="0" borderId="7" xfId="0" applyFont="1" applyFill="1" applyBorder="1" applyAlignment="1">
      <alignment wrapText="1"/>
    </xf>
    <xf numFmtId="0" fontId="12" fillId="0" borderId="0" xfId="1" applyFont="1" applyFill="1" applyAlignment="1">
      <alignment horizontal="right" wrapText="1"/>
    </xf>
    <xf numFmtId="0" fontId="11" fillId="0" borderId="0" xfId="1" applyFont="1" applyFill="1" applyBorder="1" applyAlignment="1">
      <alignment horizontal="center" vertical="center" wrapText="1"/>
    </xf>
  </cellXfs>
  <cellStyles count="24">
    <cellStyle name="Обычный" xfId="0" builtinId="0"/>
    <cellStyle name="Обычный 2" xfId="3"/>
    <cellStyle name="Обычный 2 2" xfId="4"/>
    <cellStyle name="Обычный 2 2 2" xfId="5"/>
    <cellStyle name="Обычный 3" xfId="6"/>
    <cellStyle name="Обычный 3 2" xfId="2"/>
    <cellStyle name="Обычный 4" xfId="1"/>
    <cellStyle name="Обычный 4 2" xfId="7"/>
    <cellStyle name="Обычный 5" xfId="8"/>
    <cellStyle name="Обычный 5 2" xfId="9"/>
    <cellStyle name="Обычный 6" xfId="10"/>
    <cellStyle name="Обычный 7" xfId="22"/>
    <cellStyle name="Обычный_Лист1_1" xfId="21"/>
    <cellStyle name="Стиль 1" xfId="11"/>
    <cellStyle name="Тысячи [0]_Лист1" xfId="12"/>
    <cellStyle name="Тысячи_Лист1" xfId="13"/>
    <cellStyle name="Финансовый 2" xfId="14"/>
    <cellStyle name="Финансовый 2 2" xfId="15"/>
    <cellStyle name="Финансовый 2 2 2" xfId="16"/>
    <cellStyle name="Финансовый 2 3" xfId="17"/>
    <cellStyle name="Финансовый 2 4" xfId="18"/>
    <cellStyle name="Финансовый 3" xfId="19"/>
    <cellStyle name="Финансовый 4" xfId="20"/>
    <cellStyle name="Финансовый 5"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1055;&#1088;&#1080;&#1083;&#1086;&#1078;&#1077;&#1085;&#1080;&#1077;%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019\&#1056;&#1077;&#1096;&#1077;&#1085;&#1080;&#1077;%20103-&#1088;&#1089;%20&#1086;&#1090;%2025.09.2019\1%202%203%204%205%206%207%208%209%20&#1055;&#1088;&#1080;&#1083;&#1086;&#1078;&#1077;&#1085;&#1080;&#1103;%202019%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4"/>
    </sheetNames>
    <sheetDataSet>
      <sheetData sheetId="0" refreshError="1">
        <row r="64">
          <cell r="L64">
            <v>5946184</v>
          </cell>
          <cell r="M64">
            <v>6159319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sheetName val="Приложение 2."/>
      <sheetName val="Приложение 3"/>
      <sheetName val="Прил 4 расчет"/>
      <sheetName val="Приложение 4."/>
      <sheetName val="приложение 5"/>
      <sheetName val="приложение 6"/>
      <sheetName val="приложение 7"/>
      <sheetName val="Приложение 8"/>
      <sheetName val="Приложение 9"/>
      <sheetName val="Лист4"/>
      <sheetName val="Лист1"/>
    </sheetNames>
    <sheetDataSet>
      <sheetData sheetId="0"/>
      <sheetData sheetId="1"/>
      <sheetData sheetId="2"/>
      <sheetData sheetId="3"/>
      <sheetData sheetId="4"/>
      <sheetData sheetId="5"/>
      <sheetData sheetId="6">
        <row r="202">
          <cell r="G202">
            <v>554524</v>
          </cell>
          <cell r="H202">
            <v>554524</v>
          </cell>
          <cell r="I202">
            <v>554524</v>
          </cell>
        </row>
      </sheetData>
      <sheetData sheetId="7"/>
      <sheetData sheetId="8"/>
      <sheetData sheetId="9"/>
      <sheetData sheetId="10"/>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70" zoomScaleNormal="70" workbookViewId="0">
      <selection activeCell="L22" sqref="L22"/>
    </sheetView>
  </sheetViews>
  <sheetFormatPr defaultRowHeight="15.75" x14ac:dyDescent="0.25"/>
  <cols>
    <col min="1" max="1" width="4.42578125" style="131" customWidth="1"/>
    <col min="2" max="2" width="31.85546875" style="131" customWidth="1"/>
    <col min="3" max="3" width="48" style="131" customWidth="1"/>
    <col min="4" max="4" width="17.7109375" style="131" customWidth="1"/>
    <col min="5" max="5" width="17.140625" style="131" customWidth="1"/>
    <col min="6" max="6" width="17.5703125" style="131" customWidth="1"/>
    <col min="7" max="255" width="9.140625" style="131"/>
    <col min="256" max="256" width="4.42578125" style="131" customWidth="1"/>
    <col min="257" max="257" width="22.5703125" style="131" customWidth="1"/>
    <col min="258" max="258" width="50" style="131" customWidth="1"/>
    <col min="259" max="259" width="14.5703125" style="131" customWidth="1"/>
    <col min="260" max="260" width="14.85546875" style="131" bestFit="1" customWidth="1"/>
    <col min="261" max="261" width="13.140625" style="131" customWidth="1"/>
    <col min="262" max="511" width="9.140625" style="131"/>
    <col min="512" max="512" width="4.42578125" style="131" customWidth="1"/>
    <col min="513" max="513" width="22.5703125" style="131" customWidth="1"/>
    <col min="514" max="514" width="50" style="131" customWidth="1"/>
    <col min="515" max="515" width="14.5703125" style="131" customWidth="1"/>
    <col min="516" max="516" width="14.85546875" style="131" bestFit="1" customWidth="1"/>
    <col min="517" max="517" width="13.140625" style="131" customWidth="1"/>
    <col min="518" max="767" width="9.140625" style="131"/>
    <col min="768" max="768" width="4.42578125" style="131" customWidth="1"/>
    <col min="769" max="769" width="22.5703125" style="131" customWidth="1"/>
    <col min="770" max="770" width="50" style="131" customWidth="1"/>
    <col min="771" max="771" width="14.5703125" style="131" customWidth="1"/>
    <col min="772" max="772" width="14.85546875" style="131" bestFit="1" customWidth="1"/>
    <col min="773" max="773" width="13.140625" style="131" customWidth="1"/>
    <col min="774" max="1023" width="9.140625" style="131"/>
    <col min="1024" max="1024" width="4.42578125" style="131" customWidth="1"/>
    <col min="1025" max="1025" width="22.5703125" style="131" customWidth="1"/>
    <col min="1026" max="1026" width="50" style="131" customWidth="1"/>
    <col min="1027" max="1027" width="14.5703125" style="131" customWidth="1"/>
    <col min="1028" max="1028" width="14.85546875" style="131" bestFit="1" customWidth="1"/>
    <col min="1029" max="1029" width="13.140625" style="131" customWidth="1"/>
    <col min="1030" max="1279" width="9.140625" style="131"/>
    <col min="1280" max="1280" width="4.42578125" style="131" customWidth="1"/>
    <col min="1281" max="1281" width="22.5703125" style="131" customWidth="1"/>
    <col min="1282" max="1282" width="50" style="131" customWidth="1"/>
    <col min="1283" max="1283" width="14.5703125" style="131" customWidth="1"/>
    <col min="1284" max="1284" width="14.85546875" style="131" bestFit="1" customWidth="1"/>
    <col min="1285" max="1285" width="13.140625" style="131" customWidth="1"/>
    <col min="1286" max="1535" width="9.140625" style="131"/>
    <col min="1536" max="1536" width="4.42578125" style="131" customWidth="1"/>
    <col min="1537" max="1537" width="22.5703125" style="131" customWidth="1"/>
    <col min="1538" max="1538" width="50" style="131" customWidth="1"/>
    <col min="1539" max="1539" width="14.5703125" style="131" customWidth="1"/>
    <col min="1540" max="1540" width="14.85546875" style="131" bestFit="1" customWidth="1"/>
    <col min="1541" max="1541" width="13.140625" style="131" customWidth="1"/>
    <col min="1542" max="1791" width="9.140625" style="131"/>
    <col min="1792" max="1792" width="4.42578125" style="131" customWidth="1"/>
    <col min="1793" max="1793" width="22.5703125" style="131" customWidth="1"/>
    <col min="1794" max="1794" width="50" style="131" customWidth="1"/>
    <col min="1795" max="1795" width="14.5703125" style="131" customWidth="1"/>
    <col min="1796" max="1796" width="14.85546875" style="131" bestFit="1" customWidth="1"/>
    <col min="1797" max="1797" width="13.140625" style="131" customWidth="1"/>
    <col min="1798" max="2047" width="9.140625" style="131"/>
    <col min="2048" max="2048" width="4.42578125" style="131" customWidth="1"/>
    <col min="2049" max="2049" width="22.5703125" style="131" customWidth="1"/>
    <col min="2050" max="2050" width="50" style="131" customWidth="1"/>
    <col min="2051" max="2051" width="14.5703125" style="131" customWidth="1"/>
    <col min="2052" max="2052" width="14.85546875" style="131" bestFit="1" customWidth="1"/>
    <col min="2053" max="2053" width="13.140625" style="131" customWidth="1"/>
    <col min="2054" max="2303" width="9.140625" style="131"/>
    <col min="2304" max="2304" width="4.42578125" style="131" customWidth="1"/>
    <col min="2305" max="2305" width="22.5703125" style="131" customWidth="1"/>
    <col min="2306" max="2306" width="50" style="131" customWidth="1"/>
    <col min="2307" max="2307" width="14.5703125" style="131" customWidth="1"/>
    <col min="2308" max="2308" width="14.85546875" style="131" bestFit="1" customWidth="1"/>
    <col min="2309" max="2309" width="13.140625" style="131" customWidth="1"/>
    <col min="2310" max="2559" width="9.140625" style="131"/>
    <col min="2560" max="2560" width="4.42578125" style="131" customWidth="1"/>
    <col min="2561" max="2561" width="22.5703125" style="131" customWidth="1"/>
    <col min="2562" max="2562" width="50" style="131" customWidth="1"/>
    <col min="2563" max="2563" width="14.5703125" style="131" customWidth="1"/>
    <col min="2564" max="2564" width="14.85546875" style="131" bestFit="1" customWidth="1"/>
    <col min="2565" max="2565" width="13.140625" style="131" customWidth="1"/>
    <col min="2566" max="2815" width="9.140625" style="131"/>
    <col min="2816" max="2816" width="4.42578125" style="131" customWidth="1"/>
    <col min="2817" max="2817" width="22.5703125" style="131" customWidth="1"/>
    <col min="2818" max="2818" width="50" style="131" customWidth="1"/>
    <col min="2819" max="2819" width="14.5703125" style="131" customWidth="1"/>
    <col min="2820" max="2820" width="14.85546875" style="131" bestFit="1" customWidth="1"/>
    <col min="2821" max="2821" width="13.140625" style="131" customWidth="1"/>
    <col min="2822" max="3071" width="9.140625" style="131"/>
    <col min="3072" max="3072" width="4.42578125" style="131" customWidth="1"/>
    <col min="3073" max="3073" width="22.5703125" style="131" customWidth="1"/>
    <col min="3074" max="3074" width="50" style="131" customWidth="1"/>
    <col min="3075" max="3075" width="14.5703125" style="131" customWidth="1"/>
    <col min="3076" max="3076" width="14.85546875" style="131" bestFit="1" customWidth="1"/>
    <col min="3077" max="3077" width="13.140625" style="131" customWidth="1"/>
    <col min="3078" max="3327" width="9.140625" style="131"/>
    <col min="3328" max="3328" width="4.42578125" style="131" customWidth="1"/>
    <col min="3329" max="3329" width="22.5703125" style="131" customWidth="1"/>
    <col min="3330" max="3330" width="50" style="131" customWidth="1"/>
    <col min="3331" max="3331" width="14.5703125" style="131" customWidth="1"/>
    <col min="3332" max="3332" width="14.85546875" style="131" bestFit="1" customWidth="1"/>
    <col min="3333" max="3333" width="13.140625" style="131" customWidth="1"/>
    <col min="3334" max="3583" width="9.140625" style="131"/>
    <col min="3584" max="3584" width="4.42578125" style="131" customWidth="1"/>
    <col min="3585" max="3585" width="22.5703125" style="131" customWidth="1"/>
    <col min="3586" max="3586" width="50" style="131" customWidth="1"/>
    <col min="3587" max="3587" width="14.5703125" style="131" customWidth="1"/>
    <col min="3588" max="3588" width="14.85546875" style="131" bestFit="1" customWidth="1"/>
    <col min="3589" max="3589" width="13.140625" style="131" customWidth="1"/>
    <col min="3590" max="3839" width="9.140625" style="131"/>
    <col min="3840" max="3840" width="4.42578125" style="131" customWidth="1"/>
    <col min="3841" max="3841" width="22.5703125" style="131" customWidth="1"/>
    <col min="3842" max="3842" width="50" style="131" customWidth="1"/>
    <col min="3843" max="3843" width="14.5703125" style="131" customWidth="1"/>
    <col min="3844" max="3844" width="14.85546875" style="131" bestFit="1" customWidth="1"/>
    <col min="3845" max="3845" width="13.140625" style="131" customWidth="1"/>
    <col min="3846" max="4095" width="9.140625" style="131"/>
    <col min="4096" max="4096" width="4.42578125" style="131" customWidth="1"/>
    <col min="4097" max="4097" width="22.5703125" style="131" customWidth="1"/>
    <col min="4098" max="4098" width="50" style="131" customWidth="1"/>
    <col min="4099" max="4099" width="14.5703125" style="131" customWidth="1"/>
    <col min="4100" max="4100" width="14.85546875" style="131" bestFit="1" customWidth="1"/>
    <col min="4101" max="4101" width="13.140625" style="131" customWidth="1"/>
    <col min="4102" max="4351" width="9.140625" style="131"/>
    <col min="4352" max="4352" width="4.42578125" style="131" customWidth="1"/>
    <col min="4353" max="4353" width="22.5703125" style="131" customWidth="1"/>
    <col min="4354" max="4354" width="50" style="131" customWidth="1"/>
    <col min="4355" max="4355" width="14.5703125" style="131" customWidth="1"/>
    <col min="4356" max="4356" width="14.85546875" style="131" bestFit="1" customWidth="1"/>
    <col min="4357" max="4357" width="13.140625" style="131" customWidth="1"/>
    <col min="4358" max="4607" width="9.140625" style="131"/>
    <col min="4608" max="4608" width="4.42578125" style="131" customWidth="1"/>
    <col min="4609" max="4609" width="22.5703125" style="131" customWidth="1"/>
    <col min="4610" max="4610" width="50" style="131" customWidth="1"/>
    <col min="4611" max="4611" width="14.5703125" style="131" customWidth="1"/>
    <col min="4612" max="4612" width="14.85546875" style="131" bestFit="1" customWidth="1"/>
    <col min="4613" max="4613" width="13.140625" style="131" customWidth="1"/>
    <col min="4614" max="4863" width="9.140625" style="131"/>
    <col min="4864" max="4864" width="4.42578125" style="131" customWidth="1"/>
    <col min="4865" max="4865" width="22.5703125" style="131" customWidth="1"/>
    <col min="4866" max="4866" width="50" style="131" customWidth="1"/>
    <col min="4867" max="4867" width="14.5703125" style="131" customWidth="1"/>
    <col min="4868" max="4868" width="14.85546875" style="131" bestFit="1" customWidth="1"/>
    <col min="4869" max="4869" width="13.140625" style="131" customWidth="1"/>
    <col min="4870" max="5119" width="9.140625" style="131"/>
    <col min="5120" max="5120" width="4.42578125" style="131" customWidth="1"/>
    <col min="5121" max="5121" width="22.5703125" style="131" customWidth="1"/>
    <col min="5122" max="5122" width="50" style="131" customWidth="1"/>
    <col min="5123" max="5123" width="14.5703125" style="131" customWidth="1"/>
    <col min="5124" max="5124" width="14.85546875" style="131" bestFit="1" customWidth="1"/>
    <col min="5125" max="5125" width="13.140625" style="131" customWidth="1"/>
    <col min="5126" max="5375" width="9.140625" style="131"/>
    <col min="5376" max="5376" width="4.42578125" style="131" customWidth="1"/>
    <col min="5377" max="5377" width="22.5703125" style="131" customWidth="1"/>
    <col min="5378" max="5378" width="50" style="131" customWidth="1"/>
    <col min="5379" max="5379" width="14.5703125" style="131" customWidth="1"/>
    <col min="5380" max="5380" width="14.85546875" style="131" bestFit="1" customWidth="1"/>
    <col min="5381" max="5381" width="13.140625" style="131" customWidth="1"/>
    <col min="5382" max="5631" width="9.140625" style="131"/>
    <col min="5632" max="5632" width="4.42578125" style="131" customWidth="1"/>
    <col min="5633" max="5633" width="22.5703125" style="131" customWidth="1"/>
    <col min="5634" max="5634" width="50" style="131" customWidth="1"/>
    <col min="5635" max="5635" width="14.5703125" style="131" customWidth="1"/>
    <col min="5636" max="5636" width="14.85546875" style="131" bestFit="1" customWidth="1"/>
    <col min="5637" max="5637" width="13.140625" style="131" customWidth="1"/>
    <col min="5638" max="5887" width="9.140625" style="131"/>
    <col min="5888" max="5888" width="4.42578125" style="131" customWidth="1"/>
    <col min="5889" max="5889" width="22.5703125" style="131" customWidth="1"/>
    <col min="5890" max="5890" width="50" style="131" customWidth="1"/>
    <col min="5891" max="5891" width="14.5703125" style="131" customWidth="1"/>
    <col min="5892" max="5892" width="14.85546875" style="131" bestFit="1" customWidth="1"/>
    <col min="5893" max="5893" width="13.140625" style="131" customWidth="1"/>
    <col min="5894" max="6143" width="9.140625" style="131"/>
    <col min="6144" max="6144" width="4.42578125" style="131" customWidth="1"/>
    <col min="6145" max="6145" width="22.5703125" style="131" customWidth="1"/>
    <col min="6146" max="6146" width="50" style="131" customWidth="1"/>
    <col min="6147" max="6147" width="14.5703125" style="131" customWidth="1"/>
    <col min="6148" max="6148" width="14.85546875" style="131" bestFit="1" customWidth="1"/>
    <col min="6149" max="6149" width="13.140625" style="131" customWidth="1"/>
    <col min="6150" max="6399" width="9.140625" style="131"/>
    <col min="6400" max="6400" width="4.42578125" style="131" customWidth="1"/>
    <col min="6401" max="6401" width="22.5703125" style="131" customWidth="1"/>
    <col min="6402" max="6402" width="50" style="131" customWidth="1"/>
    <col min="6403" max="6403" width="14.5703125" style="131" customWidth="1"/>
    <col min="6404" max="6404" width="14.85546875" style="131" bestFit="1" customWidth="1"/>
    <col min="6405" max="6405" width="13.140625" style="131" customWidth="1"/>
    <col min="6406" max="6655" width="9.140625" style="131"/>
    <col min="6656" max="6656" width="4.42578125" style="131" customWidth="1"/>
    <col min="6657" max="6657" width="22.5703125" style="131" customWidth="1"/>
    <col min="6658" max="6658" width="50" style="131" customWidth="1"/>
    <col min="6659" max="6659" width="14.5703125" style="131" customWidth="1"/>
    <col min="6660" max="6660" width="14.85546875" style="131" bestFit="1" customWidth="1"/>
    <col min="6661" max="6661" width="13.140625" style="131" customWidth="1"/>
    <col min="6662" max="6911" width="9.140625" style="131"/>
    <col min="6912" max="6912" width="4.42578125" style="131" customWidth="1"/>
    <col min="6913" max="6913" width="22.5703125" style="131" customWidth="1"/>
    <col min="6914" max="6914" width="50" style="131" customWidth="1"/>
    <col min="6915" max="6915" width="14.5703125" style="131" customWidth="1"/>
    <col min="6916" max="6916" width="14.85546875" style="131" bestFit="1" customWidth="1"/>
    <col min="6917" max="6917" width="13.140625" style="131" customWidth="1"/>
    <col min="6918" max="7167" width="9.140625" style="131"/>
    <col min="7168" max="7168" width="4.42578125" style="131" customWidth="1"/>
    <col min="7169" max="7169" width="22.5703125" style="131" customWidth="1"/>
    <col min="7170" max="7170" width="50" style="131" customWidth="1"/>
    <col min="7171" max="7171" width="14.5703125" style="131" customWidth="1"/>
    <col min="7172" max="7172" width="14.85546875" style="131" bestFit="1" customWidth="1"/>
    <col min="7173" max="7173" width="13.140625" style="131" customWidth="1"/>
    <col min="7174" max="7423" width="9.140625" style="131"/>
    <col min="7424" max="7424" width="4.42578125" style="131" customWidth="1"/>
    <col min="7425" max="7425" width="22.5703125" style="131" customWidth="1"/>
    <col min="7426" max="7426" width="50" style="131" customWidth="1"/>
    <col min="7427" max="7427" width="14.5703125" style="131" customWidth="1"/>
    <col min="7428" max="7428" width="14.85546875" style="131" bestFit="1" customWidth="1"/>
    <col min="7429" max="7429" width="13.140625" style="131" customWidth="1"/>
    <col min="7430" max="7679" width="9.140625" style="131"/>
    <col min="7680" max="7680" width="4.42578125" style="131" customWidth="1"/>
    <col min="7681" max="7681" width="22.5703125" style="131" customWidth="1"/>
    <col min="7682" max="7682" width="50" style="131" customWidth="1"/>
    <col min="7683" max="7683" width="14.5703125" style="131" customWidth="1"/>
    <col min="7684" max="7684" width="14.85546875" style="131" bestFit="1" customWidth="1"/>
    <col min="7685" max="7685" width="13.140625" style="131" customWidth="1"/>
    <col min="7686" max="7935" width="9.140625" style="131"/>
    <col min="7936" max="7936" width="4.42578125" style="131" customWidth="1"/>
    <col min="7937" max="7937" width="22.5703125" style="131" customWidth="1"/>
    <col min="7938" max="7938" width="50" style="131" customWidth="1"/>
    <col min="7939" max="7939" width="14.5703125" style="131" customWidth="1"/>
    <col min="7940" max="7940" width="14.85546875" style="131" bestFit="1" customWidth="1"/>
    <col min="7941" max="7941" width="13.140625" style="131" customWidth="1"/>
    <col min="7942" max="8191" width="9.140625" style="131"/>
    <col min="8192" max="8192" width="4.42578125" style="131" customWidth="1"/>
    <col min="8193" max="8193" width="22.5703125" style="131" customWidth="1"/>
    <col min="8194" max="8194" width="50" style="131" customWidth="1"/>
    <col min="8195" max="8195" width="14.5703125" style="131" customWidth="1"/>
    <col min="8196" max="8196" width="14.85546875" style="131" bestFit="1" customWidth="1"/>
    <col min="8197" max="8197" width="13.140625" style="131" customWidth="1"/>
    <col min="8198" max="8447" width="9.140625" style="131"/>
    <col min="8448" max="8448" width="4.42578125" style="131" customWidth="1"/>
    <col min="8449" max="8449" width="22.5703125" style="131" customWidth="1"/>
    <col min="8450" max="8450" width="50" style="131" customWidth="1"/>
    <col min="8451" max="8451" width="14.5703125" style="131" customWidth="1"/>
    <col min="8452" max="8452" width="14.85546875" style="131" bestFit="1" customWidth="1"/>
    <col min="8453" max="8453" width="13.140625" style="131" customWidth="1"/>
    <col min="8454" max="8703" width="9.140625" style="131"/>
    <col min="8704" max="8704" width="4.42578125" style="131" customWidth="1"/>
    <col min="8705" max="8705" width="22.5703125" style="131" customWidth="1"/>
    <col min="8706" max="8706" width="50" style="131" customWidth="1"/>
    <col min="8707" max="8707" width="14.5703125" style="131" customWidth="1"/>
    <col min="8708" max="8708" width="14.85546875" style="131" bestFit="1" customWidth="1"/>
    <col min="8709" max="8709" width="13.140625" style="131" customWidth="1"/>
    <col min="8710" max="8959" width="9.140625" style="131"/>
    <col min="8960" max="8960" width="4.42578125" style="131" customWidth="1"/>
    <col min="8961" max="8961" width="22.5703125" style="131" customWidth="1"/>
    <col min="8962" max="8962" width="50" style="131" customWidth="1"/>
    <col min="8963" max="8963" width="14.5703125" style="131" customWidth="1"/>
    <col min="8964" max="8964" width="14.85546875" style="131" bestFit="1" customWidth="1"/>
    <col min="8965" max="8965" width="13.140625" style="131" customWidth="1"/>
    <col min="8966" max="9215" width="9.140625" style="131"/>
    <col min="9216" max="9216" width="4.42578125" style="131" customWidth="1"/>
    <col min="9217" max="9217" width="22.5703125" style="131" customWidth="1"/>
    <col min="9218" max="9218" width="50" style="131" customWidth="1"/>
    <col min="9219" max="9219" width="14.5703125" style="131" customWidth="1"/>
    <col min="9220" max="9220" width="14.85546875" style="131" bestFit="1" customWidth="1"/>
    <col min="9221" max="9221" width="13.140625" style="131" customWidth="1"/>
    <col min="9222" max="9471" width="9.140625" style="131"/>
    <col min="9472" max="9472" width="4.42578125" style="131" customWidth="1"/>
    <col min="9473" max="9473" width="22.5703125" style="131" customWidth="1"/>
    <col min="9474" max="9474" width="50" style="131" customWidth="1"/>
    <col min="9475" max="9475" width="14.5703125" style="131" customWidth="1"/>
    <col min="9476" max="9476" width="14.85546875" style="131" bestFit="1" customWidth="1"/>
    <col min="9477" max="9477" width="13.140625" style="131" customWidth="1"/>
    <col min="9478" max="9727" width="9.140625" style="131"/>
    <col min="9728" max="9728" width="4.42578125" style="131" customWidth="1"/>
    <col min="9729" max="9729" width="22.5703125" style="131" customWidth="1"/>
    <col min="9730" max="9730" width="50" style="131" customWidth="1"/>
    <col min="9731" max="9731" width="14.5703125" style="131" customWidth="1"/>
    <col min="9732" max="9732" width="14.85546875" style="131" bestFit="1" customWidth="1"/>
    <col min="9733" max="9733" width="13.140625" style="131" customWidth="1"/>
    <col min="9734" max="9983" width="9.140625" style="131"/>
    <col min="9984" max="9984" width="4.42578125" style="131" customWidth="1"/>
    <col min="9985" max="9985" width="22.5703125" style="131" customWidth="1"/>
    <col min="9986" max="9986" width="50" style="131" customWidth="1"/>
    <col min="9987" max="9987" width="14.5703125" style="131" customWidth="1"/>
    <col min="9988" max="9988" width="14.85546875" style="131" bestFit="1" customWidth="1"/>
    <col min="9989" max="9989" width="13.140625" style="131" customWidth="1"/>
    <col min="9990" max="10239" width="9.140625" style="131"/>
    <col min="10240" max="10240" width="4.42578125" style="131" customWidth="1"/>
    <col min="10241" max="10241" width="22.5703125" style="131" customWidth="1"/>
    <col min="10242" max="10242" width="50" style="131" customWidth="1"/>
    <col min="10243" max="10243" width="14.5703125" style="131" customWidth="1"/>
    <col min="10244" max="10244" width="14.85546875" style="131" bestFit="1" customWidth="1"/>
    <col min="10245" max="10245" width="13.140625" style="131" customWidth="1"/>
    <col min="10246" max="10495" width="9.140625" style="131"/>
    <col min="10496" max="10496" width="4.42578125" style="131" customWidth="1"/>
    <col min="10497" max="10497" width="22.5703125" style="131" customWidth="1"/>
    <col min="10498" max="10498" width="50" style="131" customWidth="1"/>
    <col min="10499" max="10499" width="14.5703125" style="131" customWidth="1"/>
    <col min="10500" max="10500" width="14.85546875" style="131" bestFit="1" customWidth="1"/>
    <col min="10501" max="10501" width="13.140625" style="131" customWidth="1"/>
    <col min="10502" max="10751" width="9.140625" style="131"/>
    <col min="10752" max="10752" width="4.42578125" style="131" customWidth="1"/>
    <col min="10753" max="10753" width="22.5703125" style="131" customWidth="1"/>
    <col min="10754" max="10754" width="50" style="131" customWidth="1"/>
    <col min="10755" max="10755" width="14.5703125" style="131" customWidth="1"/>
    <col min="10756" max="10756" width="14.85546875" style="131" bestFit="1" customWidth="1"/>
    <col min="10757" max="10757" width="13.140625" style="131" customWidth="1"/>
    <col min="10758" max="11007" width="9.140625" style="131"/>
    <col min="11008" max="11008" width="4.42578125" style="131" customWidth="1"/>
    <col min="11009" max="11009" width="22.5703125" style="131" customWidth="1"/>
    <col min="11010" max="11010" width="50" style="131" customWidth="1"/>
    <col min="11011" max="11011" width="14.5703125" style="131" customWidth="1"/>
    <col min="11012" max="11012" width="14.85546875" style="131" bestFit="1" customWidth="1"/>
    <col min="11013" max="11013" width="13.140625" style="131" customWidth="1"/>
    <col min="11014" max="11263" width="9.140625" style="131"/>
    <col min="11264" max="11264" width="4.42578125" style="131" customWidth="1"/>
    <col min="11265" max="11265" width="22.5703125" style="131" customWidth="1"/>
    <col min="11266" max="11266" width="50" style="131" customWidth="1"/>
    <col min="11267" max="11267" width="14.5703125" style="131" customWidth="1"/>
    <col min="11268" max="11268" width="14.85546875" style="131" bestFit="1" customWidth="1"/>
    <col min="11269" max="11269" width="13.140625" style="131" customWidth="1"/>
    <col min="11270" max="11519" width="9.140625" style="131"/>
    <col min="11520" max="11520" width="4.42578125" style="131" customWidth="1"/>
    <col min="11521" max="11521" width="22.5703125" style="131" customWidth="1"/>
    <col min="11522" max="11522" width="50" style="131" customWidth="1"/>
    <col min="11523" max="11523" width="14.5703125" style="131" customWidth="1"/>
    <col min="11524" max="11524" width="14.85546875" style="131" bestFit="1" customWidth="1"/>
    <col min="11525" max="11525" width="13.140625" style="131" customWidth="1"/>
    <col min="11526" max="11775" width="9.140625" style="131"/>
    <col min="11776" max="11776" width="4.42578125" style="131" customWidth="1"/>
    <col min="11777" max="11777" width="22.5703125" style="131" customWidth="1"/>
    <col min="11778" max="11778" width="50" style="131" customWidth="1"/>
    <col min="11779" max="11779" width="14.5703125" style="131" customWidth="1"/>
    <col min="11780" max="11780" width="14.85546875" style="131" bestFit="1" customWidth="1"/>
    <col min="11781" max="11781" width="13.140625" style="131" customWidth="1"/>
    <col min="11782" max="12031" width="9.140625" style="131"/>
    <col min="12032" max="12032" width="4.42578125" style="131" customWidth="1"/>
    <col min="12033" max="12033" width="22.5703125" style="131" customWidth="1"/>
    <col min="12034" max="12034" width="50" style="131" customWidth="1"/>
    <col min="12035" max="12035" width="14.5703125" style="131" customWidth="1"/>
    <col min="12036" max="12036" width="14.85546875" style="131" bestFit="1" customWidth="1"/>
    <col min="12037" max="12037" width="13.140625" style="131" customWidth="1"/>
    <col min="12038" max="12287" width="9.140625" style="131"/>
    <col min="12288" max="12288" width="4.42578125" style="131" customWidth="1"/>
    <col min="12289" max="12289" width="22.5703125" style="131" customWidth="1"/>
    <col min="12290" max="12290" width="50" style="131" customWidth="1"/>
    <col min="12291" max="12291" width="14.5703125" style="131" customWidth="1"/>
    <col min="12292" max="12292" width="14.85546875" style="131" bestFit="1" customWidth="1"/>
    <col min="12293" max="12293" width="13.140625" style="131" customWidth="1"/>
    <col min="12294" max="12543" width="9.140625" style="131"/>
    <col min="12544" max="12544" width="4.42578125" style="131" customWidth="1"/>
    <col min="12545" max="12545" width="22.5703125" style="131" customWidth="1"/>
    <col min="12546" max="12546" width="50" style="131" customWidth="1"/>
    <col min="12547" max="12547" width="14.5703125" style="131" customWidth="1"/>
    <col min="12548" max="12548" width="14.85546875" style="131" bestFit="1" customWidth="1"/>
    <col min="12549" max="12549" width="13.140625" style="131" customWidth="1"/>
    <col min="12550" max="12799" width="9.140625" style="131"/>
    <col min="12800" max="12800" width="4.42578125" style="131" customWidth="1"/>
    <col min="12801" max="12801" width="22.5703125" style="131" customWidth="1"/>
    <col min="12802" max="12802" width="50" style="131" customWidth="1"/>
    <col min="12803" max="12803" width="14.5703125" style="131" customWidth="1"/>
    <col min="12804" max="12804" width="14.85546875" style="131" bestFit="1" customWidth="1"/>
    <col min="12805" max="12805" width="13.140625" style="131" customWidth="1"/>
    <col min="12806" max="13055" width="9.140625" style="131"/>
    <col min="13056" max="13056" width="4.42578125" style="131" customWidth="1"/>
    <col min="13057" max="13057" width="22.5703125" style="131" customWidth="1"/>
    <col min="13058" max="13058" width="50" style="131" customWidth="1"/>
    <col min="13059" max="13059" width="14.5703125" style="131" customWidth="1"/>
    <col min="13060" max="13060" width="14.85546875" style="131" bestFit="1" customWidth="1"/>
    <col min="13061" max="13061" width="13.140625" style="131" customWidth="1"/>
    <col min="13062" max="13311" width="9.140625" style="131"/>
    <col min="13312" max="13312" width="4.42578125" style="131" customWidth="1"/>
    <col min="13313" max="13313" width="22.5703125" style="131" customWidth="1"/>
    <col min="13314" max="13314" width="50" style="131" customWidth="1"/>
    <col min="13315" max="13315" width="14.5703125" style="131" customWidth="1"/>
    <col min="13316" max="13316" width="14.85546875" style="131" bestFit="1" customWidth="1"/>
    <col min="13317" max="13317" width="13.140625" style="131" customWidth="1"/>
    <col min="13318" max="13567" width="9.140625" style="131"/>
    <col min="13568" max="13568" width="4.42578125" style="131" customWidth="1"/>
    <col min="13569" max="13569" width="22.5703125" style="131" customWidth="1"/>
    <col min="13570" max="13570" width="50" style="131" customWidth="1"/>
    <col min="13571" max="13571" width="14.5703125" style="131" customWidth="1"/>
    <col min="13572" max="13572" width="14.85546875" style="131" bestFit="1" customWidth="1"/>
    <col min="13573" max="13573" width="13.140625" style="131" customWidth="1"/>
    <col min="13574" max="13823" width="9.140625" style="131"/>
    <col min="13824" max="13824" width="4.42578125" style="131" customWidth="1"/>
    <col min="13825" max="13825" width="22.5703125" style="131" customWidth="1"/>
    <col min="13826" max="13826" width="50" style="131" customWidth="1"/>
    <col min="13827" max="13827" width="14.5703125" style="131" customWidth="1"/>
    <col min="13828" max="13828" width="14.85546875" style="131" bestFit="1" customWidth="1"/>
    <col min="13829" max="13829" width="13.140625" style="131" customWidth="1"/>
    <col min="13830" max="14079" width="9.140625" style="131"/>
    <col min="14080" max="14080" width="4.42578125" style="131" customWidth="1"/>
    <col min="14081" max="14081" width="22.5703125" style="131" customWidth="1"/>
    <col min="14082" max="14082" width="50" style="131" customWidth="1"/>
    <col min="14083" max="14083" width="14.5703125" style="131" customWidth="1"/>
    <col min="14084" max="14084" width="14.85546875" style="131" bestFit="1" customWidth="1"/>
    <col min="14085" max="14085" width="13.140625" style="131" customWidth="1"/>
    <col min="14086" max="14335" width="9.140625" style="131"/>
    <col min="14336" max="14336" width="4.42578125" style="131" customWidth="1"/>
    <col min="14337" max="14337" width="22.5703125" style="131" customWidth="1"/>
    <col min="14338" max="14338" width="50" style="131" customWidth="1"/>
    <col min="14339" max="14339" width="14.5703125" style="131" customWidth="1"/>
    <col min="14340" max="14340" width="14.85546875" style="131" bestFit="1" customWidth="1"/>
    <col min="14341" max="14341" width="13.140625" style="131" customWidth="1"/>
    <col min="14342" max="14591" width="9.140625" style="131"/>
    <col min="14592" max="14592" width="4.42578125" style="131" customWidth="1"/>
    <col min="14593" max="14593" width="22.5703125" style="131" customWidth="1"/>
    <col min="14594" max="14594" width="50" style="131" customWidth="1"/>
    <col min="14595" max="14595" width="14.5703125" style="131" customWidth="1"/>
    <col min="14596" max="14596" width="14.85546875" style="131" bestFit="1" customWidth="1"/>
    <col min="14597" max="14597" width="13.140625" style="131" customWidth="1"/>
    <col min="14598" max="14847" width="9.140625" style="131"/>
    <col min="14848" max="14848" width="4.42578125" style="131" customWidth="1"/>
    <col min="14849" max="14849" width="22.5703125" style="131" customWidth="1"/>
    <col min="14850" max="14850" width="50" style="131" customWidth="1"/>
    <col min="14851" max="14851" width="14.5703125" style="131" customWidth="1"/>
    <col min="14852" max="14852" width="14.85546875" style="131" bestFit="1" customWidth="1"/>
    <col min="14853" max="14853" width="13.140625" style="131" customWidth="1"/>
    <col min="14854" max="15103" width="9.140625" style="131"/>
    <col min="15104" max="15104" width="4.42578125" style="131" customWidth="1"/>
    <col min="15105" max="15105" width="22.5703125" style="131" customWidth="1"/>
    <col min="15106" max="15106" width="50" style="131" customWidth="1"/>
    <col min="15107" max="15107" width="14.5703125" style="131" customWidth="1"/>
    <col min="15108" max="15108" width="14.85546875" style="131" bestFit="1" customWidth="1"/>
    <col min="15109" max="15109" width="13.140625" style="131" customWidth="1"/>
    <col min="15110" max="15359" width="9.140625" style="131"/>
    <col min="15360" max="15360" width="4.42578125" style="131" customWidth="1"/>
    <col min="15361" max="15361" width="22.5703125" style="131" customWidth="1"/>
    <col min="15362" max="15362" width="50" style="131" customWidth="1"/>
    <col min="15363" max="15363" width="14.5703125" style="131" customWidth="1"/>
    <col min="15364" max="15364" width="14.85546875" style="131" bestFit="1" customWidth="1"/>
    <col min="15365" max="15365" width="13.140625" style="131" customWidth="1"/>
    <col min="15366" max="15615" width="9.140625" style="131"/>
    <col min="15616" max="15616" width="4.42578125" style="131" customWidth="1"/>
    <col min="15617" max="15617" width="22.5703125" style="131" customWidth="1"/>
    <col min="15618" max="15618" width="50" style="131" customWidth="1"/>
    <col min="15619" max="15619" width="14.5703125" style="131" customWidth="1"/>
    <col min="15620" max="15620" width="14.85546875" style="131" bestFit="1" customWidth="1"/>
    <col min="15621" max="15621" width="13.140625" style="131" customWidth="1"/>
    <col min="15622" max="15871" width="9.140625" style="131"/>
    <col min="15872" max="15872" width="4.42578125" style="131" customWidth="1"/>
    <col min="15873" max="15873" width="22.5703125" style="131" customWidth="1"/>
    <col min="15874" max="15874" width="50" style="131" customWidth="1"/>
    <col min="15875" max="15875" width="14.5703125" style="131" customWidth="1"/>
    <col min="15876" max="15876" width="14.85546875" style="131" bestFit="1" customWidth="1"/>
    <col min="15877" max="15877" width="13.140625" style="131" customWidth="1"/>
    <col min="15878" max="16127" width="9.140625" style="131"/>
    <col min="16128" max="16128" width="4.42578125" style="131" customWidth="1"/>
    <col min="16129" max="16129" width="22.5703125" style="131" customWidth="1"/>
    <col min="16130" max="16130" width="50" style="131" customWidth="1"/>
    <col min="16131" max="16131" width="14.5703125" style="131" customWidth="1"/>
    <col min="16132" max="16132" width="14.85546875" style="131" bestFit="1" customWidth="1"/>
    <col min="16133" max="16133" width="13.140625" style="131" customWidth="1"/>
    <col min="16134" max="16384" width="9.140625" style="131"/>
  </cols>
  <sheetData>
    <row r="1" spans="1:6" s="129" customFormat="1" x14ac:dyDescent="0.25">
      <c r="A1" s="183" t="s">
        <v>31</v>
      </c>
      <c r="B1" s="184"/>
      <c r="C1" s="184"/>
      <c r="D1" s="184"/>
      <c r="E1" s="184"/>
      <c r="F1" s="184"/>
    </row>
    <row r="2" spans="1:6" s="129" customFormat="1" ht="15" customHeight="1" x14ac:dyDescent="0.25">
      <c r="A2" s="183" t="s">
        <v>0</v>
      </c>
      <c r="B2" s="184"/>
      <c r="C2" s="184"/>
      <c r="D2" s="184"/>
      <c r="E2" s="184"/>
      <c r="F2" s="184"/>
    </row>
    <row r="3" spans="1:6" s="129" customFormat="1" x14ac:dyDescent="0.25">
      <c r="A3" s="183" t="s">
        <v>658</v>
      </c>
      <c r="B3" s="184"/>
      <c r="C3" s="184"/>
      <c r="D3" s="184"/>
      <c r="E3" s="184"/>
      <c r="F3" s="184"/>
    </row>
    <row r="4" spans="1:6" x14ac:dyDescent="0.25">
      <c r="A4" s="130"/>
    </row>
    <row r="5" spans="1:6" ht="33.75" customHeight="1" x14ac:dyDescent="0.25">
      <c r="A5" s="185" t="s">
        <v>523</v>
      </c>
      <c r="B5" s="186"/>
      <c r="C5" s="186"/>
      <c r="D5" s="186"/>
      <c r="E5" s="186"/>
      <c r="F5" s="186"/>
    </row>
    <row r="6" spans="1:6" x14ac:dyDescent="0.25">
      <c r="A6" s="187" t="s">
        <v>510</v>
      </c>
      <c r="B6" s="188"/>
      <c r="C6" s="188"/>
      <c r="D6" s="188"/>
      <c r="E6" s="188"/>
      <c r="F6" s="188"/>
    </row>
    <row r="7" spans="1:6" s="132" customFormat="1" ht="28.5" customHeight="1" x14ac:dyDescent="0.25">
      <c r="A7" s="189" t="s">
        <v>1</v>
      </c>
      <c r="B7" s="189" t="s">
        <v>54</v>
      </c>
      <c r="C7" s="189" t="s">
        <v>511</v>
      </c>
      <c r="D7" s="191" t="s">
        <v>512</v>
      </c>
      <c r="E7" s="192"/>
      <c r="F7" s="193"/>
    </row>
    <row r="8" spans="1:6" s="132" customFormat="1" ht="63" customHeight="1" x14ac:dyDescent="0.25">
      <c r="A8" s="190"/>
      <c r="B8" s="190"/>
      <c r="C8" s="190"/>
      <c r="D8" s="133" t="s">
        <v>30</v>
      </c>
      <c r="E8" s="133" t="s">
        <v>465</v>
      </c>
      <c r="F8" s="134" t="s">
        <v>493</v>
      </c>
    </row>
    <row r="9" spans="1:6" x14ac:dyDescent="0.25">
      <c r="A9" s="135"/>
      <c r="B9" s="126">
        <v>1</v>
      </c>
      <c r="C9" s="126">
        <v>2</v>
      </c>
      <c r="D9" s="126">
        <v>3</v>
      </c>
      <c r="E9" s="126">
        <v>4</v>
      </c>
      <c r="F9" s="126">
        <v>5</v>
      </c>
    </row>
    <row r="10" spans="1:6" ht="31.5" x14ac:dyDescent="0.25">
      <c r="A10" s="126">
        <v>1</v>
      </c>
      <c r="B10" s="126" t="s">
        <v>32</v>
      </c>
      <c r="C10" s="135" t="s">
        <v>33</v>
      </c>
      <c r="D10" s="136">
        <f>D11+D20</f>
        <v>108012.5</v>
      </c>
      <c r="E10" s="136">
        <f t="shared" ref="E10:F10" si="0">E11+E20</f>
        <v>0</v>
      </c>
      <c r="F10" s="136">
        <f t="shared" si="0"/>
        <v>0</v>
      </c>
    </row>
    <row r="11" spans="1:6" ht="31.5" x14ac:dyDescent="0.25">
      <c r="A11" s="126">
        <v>2</v>
      </c>
      <c r="B11" s="126" t="s">
        <v>34</v>
      </c>
      <c r="C11" s="135" t="s">
        <v>513</v>
      </c>
      <c r="D11" s="136">
        <f>D12+D16</f>
        <v>108012.5</v>
      </c>
      <c r="E11" s="136">
        <f t="shared" ref="E11:F11" si="1">E12+E16</f>
        <v>0</v>
      </c>
      <c r="F11" s="136">
        <f t="shared" si="1"/>
        <v>0</v>
      </c>
    </row>
    <row r="12" spans="1:6" x14ac:dyDescent="0.25">
      <c r="A12" s="126">
        <v>3</v>
      </c>
      <c r="B12" s="126" t="s">
        <v>35</v>
      </c>
      <c r="C12" s="135" t="s">
        <v>36</v>
      </c>
      <c r="D12" s="136">
        <f>D13</f>
        <v>-15626668</v>
      </c>
      <c r="E12" s="136">
        <f t="shared" ref="E12:F14" si="2">E13</f>
        <v>-59956859</v>
      </c>
      <c r="F12" s="136">
        <f t="shared" si="2"/>
        <v>-8116379</v>
      </c>
    </row>
    <row r="13" spans="1:6" ht="31.5" x14ac:dyDescent="0.25">
      <c r="A13" s="126">
        <v>4</v>
      </c>
      <c r="B13" s="126" t="s">
        <v>37</v>
      </c>
      <c r="C13" s="135" t="s">
        <v>59</v>
      </c>
      <c r="D13" s="136">
        <f>D14</f>
        <v>-15626668</v>
      </c>
      <c r="E13" s="136">
        <f t="shared" si="2"/>
        <v>-59956859</v>
      </c>
      <c r="F13" s="136">
        <f t="shared" si="2"/>
        <v>-8116379</v>
      </c>
    </row>
    <row r="14" spans="1:6" ht="31.5" x14ac:dyDescent="0.25">
      <c r="A14" s="126">
        <v>5</v>
      </c>
      <c r="B14" s="126" t="s">
        <v>38</v>
      </c>
      <c r="C14" s="135" t="s">
        <v>39</v>
      </c>
      <c r="D14" s="136">
        <f>D15</f>
        <v>-15626668</v>
      </c>
      <c r="E14" s="136">
        <f t="shared" si="2"/>
        <v>-59956859</v>
      </c>
      <c r="F14" s="136">
        <f t="shared" si="2"/>
        <v>-8116379</v>
      </c>
    </row>
    <row r="15" spans="1:6" ht="31.5" x14ac:dyDescent="0.25">
      <c r="A15" s="126">
        <v>6</v>
      </c>
      <c r="B15" s="126" t="s">
        <v>40</v>
      </c>
      <c r="C15" s="135" t="s">
        <v>514</v>
      </c>
      <c r="D15" s="136">
        <f>-('Приложение 2'!K96+D23)</f>
        <v>-15626668</v>
      </c>
      <c r="E15" s="136">
        <f>-('Приложение 2'!L96+E23)</f>
        <v>-59956859</v>
      </c>
      <c r="F15" s="136">
        <f>-('Приложение 2'!M96+F23)</f>
        <v>-8116379</v>
      </c>
    </row>
    <row r="16" spans="1:6" x14ac:dyDescent="0.25">
      <c r="A16" s="126">
        <v>7</v>
      </c>
      <c r="B16" s="126" t="s">
        <v>41</v>
      </c>
      <c r="C16" s="135" t="s">
        <v>42</v>
      </c>
      <c r="D16" s="136">
        <f>D17</f>
        <v>15734680.5</v>
      </c>
      <c r="E16" s="136">
        <f t="shared" ref="E16:F18" si="3">E17</f>
        <v>59956859</v>
      </c>
      <c r="F16" s="136">
        <f t="shared" si="3"/>
        <v>8116379</v>
      </c>
    </row>
    <row r="17" spans="1:6" ht="31.5" x14ac:dyDescent="0.25">
      <c r="A17" s="126">
        <v>8</v>
      </c>
      <c r="B17" s="126" t="s">
        <v>43</v>
      </c>
      <c r="C17" s="135" t="s">
        <v>44</v>
      </c>
      <c r="D17" s="136">
        <f>D18</f>
        <v>15734680.5</v>
      </c>
      <c r="E17" s="136">
        <f t="shared" si="3"/>
        <v>59956859</v>
      </c>
      <c r="F17" s="136">
        <f t="shared" si="3"/>
        <v>8116379</v>
      </c>
    </row>
    <row r="18" spans="1:6" ht="31.5" x14ac:dyDescent="0.25">
      <c r="A18" s="126">
        <v>9</v>
      </c>
      <c r="B18" s="126" t="s">
        <v>45</v>
      </c>
      <c r="C18" s="135" t="s">
        <v>46</v>
      </c>
      <c r="D18" s="136">
        <f>D19</f>
        <v>15734680.5</v>
      </c>
      <c r="E18" s="136">
        <f t="shared" si="3"/>
        <v>59956859</v>
      </c>
      <c r="F18" s="136">
        <f t="shared" si="3"/>
        <v>8116379</v>
      </c>
    </row>
    <row r="19" spans="1:6" ht="31.5" x14ac:dyDescent="0.25">
      <c r="A19" s="126">
        <v>10</v>
      </c>
      <c r="B19" s="126" t="s">
        <v>47</v>
      </c>
      <c r="C19" s="135" t="s">
        <v>515</v>
      </c>
      <c r="D19" s="136">
        <f>'приложение 4'!G178+D24</f>
        <v>15734680.5</v>
      </c>
      <c r="E19" s="136">
        <f>'приложение 4'!H178+E24</f>
        <v>59956859</v>
      </c>
      <c r="F19" s="136">
        <f>'приложение 4'!I178+F24</f>
        <v>8116379</v>
      </c>
    </row>
    <row r="20" spans="1:6" ht="31.5" x14ac:dyDescent="0.25">
      <c r="A20" s="126">
        <v>11</v>
      </c>
      <c r="B20" s="126" t="s">
        <v>48</v>
      </c>
      <c r="C20" s="135" t="s">
        <v>516</v>
      </c>
      <c r="D20" s="136">
        <f>D21</f>
        <v>0</v>
      </c>
      <c r="E20" s="136">
        <f t="shared" ref="E20:F20" si="4">E21</f>
        <v>0</v>
      </c>
      <c r="F20" s="136">
        <f t="shared" si="4"/>
        <v>0</v>
      </c>
    </row>
    <row r="21" spans="1:6" ht="47.25" x14ac:dyDescent="0.25">
      <c r="A21" s="126">
        <v>12</v>
      </c>
      <c r="B21" s="126" t="s">
        <v>49</v>
      </c>
      <c r="C21" s="135" t="s">
        <v>517</v>
      </c>
      <c r="D21" s="136">
        <f>D22-D24</f>
        <v>0</v>
      </c>
      <c r="E21" s="136">
        <f t="shared" ref="E21:F21" si="5">E22-E24</f>
        <v>0</v>
      </c>
      <c r="F21" s="136">
        <f t="shared" si="5"/>
        <v>0</v>
      </c>
    </row>
    <row r="22" spans="1:6" ht="47.25" x14ac:dyDescent="0.25">
      <c r="A22" s="126">
        <v>13</v>
      </c>
      <c r="B22" s="126" t="s">
        <v>50</v>
      </c>
      <c r="C22" s="135" t="s">
        <v>518</v>
      </c>
      <c r="D22" s="136">
        <f>D23</f>
        <v>0</v>
      </c>
      <c r="E22" s="136">
        <f t="shared" ref="E22:F22" si="6">E23</f>
        <v>0</v>
      </c>
      <c r="F22" s="136">
        <f t="shared" si="6"/>
        <v>0</v>
      </c>
    </row>
    <row r="23" spans="1:6" ht="63" x14ac:dyDescent="0.25">
      <c r="A23" s="126">
        <v>14</v>
      </c>
      <c r="B23" s="126" t="s">
        <v>51</v>
      </c>
      <c r="C23" s="135" t="s">
        <v>519</v>
      </c>
      <c r="D23" s="136">
        <f>'Приложение 7'!D8</f>
        <v>0</v>
      </c>
      <c r="E23" s="136">
        <v>0</v>
      </c>
      <c r="F23" s="136">
        <v>0</v>
      </c>
    </row>
    <row r="24" spans="1:6" ht="63" x14ac:dyDescent="0.25">
      <c r="A24" s="126">
        <v>15</v>
      </c>
      <c r="B24" s="126" t="s">
        <v>52</v>
      </c>
      <c r="C24" s="135" t="s">
        <v>520</v>
      </c>
      <c r="D24" s="136">
        <f>D25</f>
        <v>0</v>
      </c>
      <c r="E24" s="136">
        <f t="shared" ref="E24:F24" si="7">E25</f>
        <v>0</v>
      </c>
      <c r="F24" s="136">
        <f t="shared" si="7"/>
        <v>0</v>
      </c>
    </row>
    <row r="25" spans="1:6" ht="63" x14ac:dyDescent="0.25">
      <c r="A25" s="126">
        <v>16</v>
      </c>
      <c r="B25" s="126" t="s">
        <v>53</v>
      </c>
      <c r="C25" s="135" t="s">
        <v>521</v>
      </c>
      <c r="D25" s="136">
        <f>'Приложение 7'!D11</f>
        <v>0</v>
      </c>
      <c r="E25" s="136">
        <v>0</v>
      </c>
      <c r="F25" s="136">
        <v>0</v>
      </c>
    </row>
    <row r="26" spans="1:6" x14ac:dyDescent="0.25">
      <c r="A26" s="180" t="s">
        <v>522</v>
      </c>
      <c r="B26" s="181"/>
      <c r="C26" s="182"/>
      <c r="D26" s="136">
        <f>D10</f>
        <v>108012.5</v>
      </c>
      <c r="E26" s="136">
        <f t="shared" ref="E26:F26" si="8">E10</f>
        <v>0</v>
      </c>
      <c r="F26" s="136">
        <f t="shared" si="8"/>
        <v>0</v>
      </c>
    </row>
    <row r="27" spans="1:6" x14ac:dyDescent="0.25">
      <c r="A27" s="137"/>
    </row>
  </sheetData>
  <mergeCells count="10">
    <mergeCell ref="A26:C26"/>
    <mergeCell ref="A1:F1"/>
    <mergeCell ref="A2:F2"/>
    <mergeCell ref="A3:F3"/>
    <mergeCell ref="A5:F5"/>
    <mergeCell ref="A6:F6"/>
    <mergeCell ref="A7:A8"/>
    <mergeCell ref="B7:B8"/>
    <mergeCell ref="C7:C8"/>
    <mergeCell ref="D7:F7"/>
  </mergeCells>
  <pageMargins left="0.74803149606299213" right="0.74803149606299213" top="0.98425196850393704" bottom="0.98425196850393704" header="0.51181102362204722" footer="0.51181102362204722"/>
  <pageSetup paperSize="9" scale="6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Q101"/>
  <sheetViews>
    <sheetView tabSelected="1" topLeftCell="A55" workbookViewId="0">
      <selection activeCell="J61" sqref="J61"/>
    </sheetView>
  </sheetViews>
  <sheetFormatPr defaultRowHeight="15" x14ac:dyDescent="0.25"/>
  <cols>
    <col min="1" max="1" width="3.85546875" style="159" customWidth="1"/>
    <col min="2" max="2" width="5.140625" style="160" customWidth="1"/>
    <col min="3" max="3" width="5" style="160" customWidth="1"/>
    <col min="4" max="4" width="3.5703125" style="160" customWidth="1"/>
    <col min="5" max="5" width="3.7109375" style="160" customWidth="1"/>
    <col min="6" max="6" width="4.28515625" style="160" customWidth="1"/>
    <col min="7" max="7" width="4.140625" style="160" customWidth="1"/>
    <col min="8" max="8" width="6.5703125" style="160" customWidth="1"/>
    <col min="9" max="9" width="6.28515625" style="160" customWidth="1"/>
    <col min="10" max="10" width="51.7109375" style="160" customWidth="1"/>
    <col min="11" max="11" width="13.42578125" style="159" customWidth="1"/>
    <col min="12" max="12" width="21.5703125" style="159" customWidth="1"/>
    <col min="13" max="13" width="14.7109375" style="159" customWidth="1"/>
    <col min="14" max="15" width="9.140625" style="159" hidden="1" customWidth="1"/>
    <col min="16" max="16" width="13.42578125" style="159" hidden="1" customWidth="1"/>
    <col min="17" max="17" width="9.140625" style="159" hidden="1" customWidth="1"/>
    <col min="18" max="253" width="9.140625" style="159"/>
    <col min="254" max="254" width="3.85546875" style="159" customWidth="1"/>
    <col min="255" max="255" width="4.42578125" style="159" customWidth="1"/>
    <col min="256" max="256" width="2.5703125" style="159" customWidth="1"/>
    <col min="257" max="257" width="3.5703125" style="159" customWidth="1"/>
    <col min="258" max="258" width="3" style="159" customWidth="1"/>
    <col min="259" max="259" width="4.28515625" style="159" customWidth="1"/>
    <col min="260" max="260" width="4.140625" style="159" customWidth="1"/>
    <col min="261" max="261" width="5.140625" style="159" customWidth="1"/>
    <col min="262" max="262" width="5.7109375" style="159" customWidth="1"/>
    <col min="263" max="263" width="51.7109375" style="159" customWidth="1"/>
    <col min="264" max="264" width="17.85546875" style="159" customWidth="1"/>
    <col min="265" max="265" width="16.85546875" style="159" customWidth="1"/>
    <col min="266" max="266" width="17.5703125" style="159" customWidth="1"/>
    <col min="267" max="509" width="9.140625" style="159"/>
    <col min="510" max="510" width="3.85546875" style="159" customWidth="1"/>
    <col min="511" max="511" width="4.42578125" style="159" customWidth="1"/>
    <col min="512" max="512" width="2.5703125" style="159" customWidth="1"/>
    <col min="513" max="513" width="3.5703125" style="159" customWidth="1"/>
    <col min="514" max="514" width="3" style="159" customWidth="1"/>
    <col min="515" max="515" width="4.28515625" style="159" customWidth="1"/>
    <col min="516" max="516" width="4.140625" style="159" customWidth="1"/>
    <col min="517" max="517" width="5.140625" style="159" customWidth="1"/>
    <col min="518" max="518" width="5.7109375" style="159" customWidth="1"/>
    <col min="519" max="519" width="51.7109375" style="159" customWidth="1"/>
    <col min="520" max="520" width="17.85546875" style="159" customWidth="1"/>
    <col min="521" max="521" width="16.85546875" style="159" customWidth="1"/>
    <col min="522" max="522" width="17.5703125" style="159" customWidth="1"/>
    <col min="523" max="765" width="9.140625" style="159"/>
    <col min="766" max="766" width="3.85546875" style="159" customWidth="1"/>
    <col min="767" max="767" width="4.42578125" style="159" customWidth="1"/>
    <col min="768" max="768" width="2.5703125" style="159" customWidth="1"/>
    <col min="769" max="769" width="3.5703125" style="159" customWidth="1"/>
    <col min="770" max="770" width="3" style="159" customWidth="1"/>
    <col min="771" max="771" width="4.28515625" style="159" customWidth="1"/>
    <col min="772" max="772" width="4.140625" style="159" customWidth="1"/>
    <col min="773" max="773" width="5.140625" style="159" customWidth="1"/>
    <col min="774" max="774" width="5.7109375" style="159" customWidth="1"/>
    <col min="775" max="775" width="51.7109375" style="159" customWidth="1"/>
    <col min="776" max="776" width="17.85546875" style="159" customWidth="1"/>
    <col min="777" max="777" width="16.85546875" style="159" customWidth="1"/>
    <col min="778" max="778" width="17.5703125" style="159" customWidth="1"/>
    <col min="779" max="1021" width="9.140625" style="159"/>
    <col min="1022" max="1022" width="3.85546875" style="159" customWidth="1"/>
    <col min="1023" max="1023" width="4.42578125" style="159" customWidth="1"/>
    <col min="1024" max="1024" width="2.5703125" style="159" customWidth="1"/>
    <col min="1025" max="1025" width="3.5703125" style="159" customWidth="1"/>
    <col min="1026" max="1026" width="3" style="159" customWidth="1"/>
    <col min="1027" max="1027" width="4.28515625" style="159" customWidth="1"/>
    <col min="1028" max="1028" width="4.140625" style="159" customWidth="1"/>
    <col min="1029" max="1029" width="5.140625" style="159" customWidth="1"/>
    <col min="1030" max="1030" width="5.7109375" style="159" customWidth="1"/>
    <col min="1031" max="1031" width="51.7109375" style="159" customWidth="1"/>
    <col min="1032" max="1032" width="17.85546875" style="159" customWidth="1"/>
    <col min="1033" max="1033" width="16.85546875" style="159" customWidth="1"/>
    <col min="1034" max="1034" width="17.5703125" style="159" customWidth="1"/>
    <col min="1035" max="1277" width="9.140625" style="159"/>
    <col min="1278" max="1278" width="3.85546875" style="159" customWidth="1"/>
    <col min="1279" max="1279" width="4.42578125" style="159" customWidth="1"/>
    <col min="1280" max="1280" width="2.5703125" style="159" customWidth="1"/>
    <col min="1281" max="1281" width="3.5703125" style="159" customWidth="1"/>
    <col min="1282" max="1282" width="3" style="159" customWidth="1"/>
    <col min="1283" max="1283" width="4.28515625" style="159" customWidth="1"/>
    <col min="1284" max="1284" width="4.140625" style="159" customWidth="1"/>
    <col min="1285" max="1285" width="5.140625" style="159" customWidth="1"/>
    <col min="1286" max="1286" width="5.7109375" style="159" customWidth="1"/>
    <col min="1287" max="1287" width="51.7109375" style="159" customWidth="1"/>
    <col min="1288" max="1288" width="17.85546875" style="159" customWidth="1"/>
    <col min="1289" max="1289" width="16.85546875" style="159" customWidth="1"/>
    <col min="1290" max="1290" width="17.5703125" style="159" customWidth="1"/>
    <col min="1291" max="1533" width="9.140625" style="159"/>
    <col min="1534" max="1534" width="3.85546875" style="159" customWidth="1"/>
    <col min="1535" max="1535" width="4.42578125" style="159" customWidth="1"/>
    <col min="1536" max="1536" width="2.5703125" style="159" customWidth="1"/>
    <col min="1537" max="1537" width="3.5703125" style="159" customWidth="1"/>
    <col min="1538" max="1538" width="3" style="159" customWidth="1"/>
    <col min="1539" max="1539" width="4.28515625" style="159" customWidth="1"/>
    <col min="1540" max="1540" width="4.140625" style="159" customWidth="1"/>
    <col min="1541" max="1541" width="5.140625" style="159" customWidth="1"/>
    <col min="1542" max="1542" width="5.7109375" style="159" customWidth="1"/>
    <col min="1543" max="1543" width="51.7109375" style="159" customWidth="1"/>
    <col min="1544" max="1544" width="17.85546875" style="159" customWidth="1"/>
    <col min="1545" max="1545" width="16.85546875" style="159" customWidth="1"/>
    <col min="1546" max="1546" width="17.5703125" style="159" customWidth="1"/>
    <col min="1547" max="1789" width="9.140625" style="159"/>
    <col min="1790" max="1790" width="3.85546875" style="159" customWidth="1"/>
    <col min="1791" max="1791" width="4.42578125" style="159" customWidth="1"/>
    <col min="1792" max="1792" width="2.5703125" style="159" customWidth="1"/>
    <col min="1793" max="1793" width="3.5703125" style="159" customWidth="1"/>
    <col min="1794" max="1794" width="3" style="159" customWidth="1"/>
    <col min="1795" max="1795" width="4.28515625" style="159" customWidth="1"/>
    <col min="1796" max="1796" width="4.140625" style="159" customWidth="1"/>
    <col min="1797" max="1797" width="5.140625" style="159" customWidth="1"/>
    <col min="1798" max="1798" width="5.7109375" style="159" customWidth="1"/>
    <col min="1799" max="1799" width="51.7109375" style="159" customWidth="1"/>
    <col min="1800" max="1800" width="17.85546875" style="159" customWidth="1"/>
    <col min="1801" max="1801" width="16.85546875" style="159" customWidth="1"/>
    <col min="1802" max="1802" width="17.5703125" style="159" customWidth="1"/>
    <col min="1803" max="2045" width="9.140625" style="159"/>
    <col min="2046" max="2046" width="3.85546875" style="159" customWidth="1"/>
    <col min="2047" max="2047" width="4.42578125" style="159" customWidth="1"/>
    <col min="2048" max="2048" width="2.5703125" style="159" customWidth="1"/>
    <col min="2049" max="2049" width="3.5703125" style="159" customWidth="1"/>
    <col min="2050" max="2050" width="3" style="159" customWidth="1"/>
    <col min="2051" max="2051" width="4.28515625" style="159" customWidth="1"/>
    <col min="2052" max="2052" width="4.140625" style="159" customWidth="1"/>
    <col min="2053" max="2053" width="5.140625" style="159" customWidth="1"/>
    <col min="2054" max="2054" width="5.7109375" style="159" customWidth="1"/>
    <col min="2055" max="2055" width="51.7109375" style="159" customWidth="1"/>
    <col min="2056" max="2056" width="17.85546875" style="159" customWidth="1"/>
    <col min="2057" max="2057" width="16.85546875" style="159" customWidth="1"/>
    <col min="2058" max="2058" width="17.5703125" style="159" customWidth="1"/>
    <col min="2059" max="2301" width="9.140625" style="159"/>
    <col min="2302" max="2302" width="3.85546875" style="159" customWidth="1"/>
    <col min="2303" max="2303" width="4.42578125" style="159" customWidth="1"/>
    <col min="2304" max="2304" width="2.5703125" style="159" customWidth="1"/>
    <col min="2305" max="2305" width="3.5703125" style="159" customWidth="1"/>
    <col min="2306" max="2306" width="3" style="159" customWidth="1"/>
    <col min="2307" max="2307" width="4.28515625" style="159" customWidth="1"/>
    <col min="2308" max="2308" width="4.140625" style="159" customWidth="1"/>
    <col min="2309" max="2309" width="5.140625" style="159" customWidth="1"/>
    <col min="2310" max="2310" width="5.7109375" style="159" customWidth="1"/>
    <col min="2311" max="2311" width="51.7109375" style="159" customWidth="1"/>
    <col min="2312" max="2312" width="17.85546875" style="159" customWidth="1"/>
    <col min="2313" max="2313" width="16.85546875" style="159" customWidth="1"/>
    <col min="2314" max="2314" width="17.5703125" style="159" customWidth="1"/>
    <col min="2315" max="2557" width="9.140625" style="159"/>
    <col min="2558" max="2558" width="3.85546875" style="159" customWidth="1"/>
    <col min="2559" max="2559" width="4.42578125" style="159" customWidth="1"/>
    <col min="2560" max="2560" width="2.5703125" style="159" customWidth="1"/>
    <col min="2561" max="2561" width="3.5703125" style="159" customWidth="1"/>
    <col min="2562" max="2562" width="3" style="159" customWidth="1"/>
    <col min="2563" max="2563" width="4.28515625" style="159" customWidth="1"/>
    <col min="2564" max="2564" width="4.140625" style="159" customWidth="1"/>
    <col min="2565" max="2565" width="5.140625" style="159" customWidth="1"/>
    <col min="2566" max="2566" width="5.7109375" style="159" customWidth="1"/>
    <col min="2567" max="2567" width="51.7109375" style="159" customWidth="1"/>
    <col min="2568" max="2568" width="17.85546875" style="159" customWidth="1"/>
    <col min="2569" max="2569" width="16.85546875" style="159" customWidth="1"/>
    <col min="2570" max="2570" width="17.5703125" style="159" customWidth="1"/>
    <col min="2571" max="2813" width="9.140625" style="159"/>
    <col min="2814" max="2814" width="3.85546875" style="159" customWidth="1"/>
    <col min="2815" max="2815" width="4.42578125" style="159" customWidth="1"/>
    <col min="2816" max="2816" width="2.5703125" style="159" customWidth="1"/>
    <col min="2817" max="2817" width="3.5703125" style="159" customWidth="1"/>
    <col min="2818" max="2818" width="3" style="159" customWidth="1"/>
    <col min="2819" max="2819" width="4.28515625" style="159" customWidth="1"/>
    <col min="2820" max="2820" width="4.140625" style="159" customWidth="1"/>
    <col min="2821" max="2821" width="5.140625" style="159" customWidth="1"/>
    <col min="2822" max="2822" width="5.7109375" style="159" customWidth="1"/>
    <col min="2823" max="2823" width="51.7109375" style="159" customWidth="1"/>
    <col min="2824" max="2824" width="17.85546875" style="159" customWidth="1"/>
    <col min="2825" max="2825" width="16.85546875" style="159" customWidth="1"/>
    <col min="2826" max="2826" width="17.5703125" style="159" customWidth="1"/>
    <col min="2827" max="3069" width="9.140625" style="159"/>
    <col min="3070" max="3070" width="3.85546875" style="159" customWidth="1"/>
    <col min="3071" max="3071" width="4.42578125" style="159" customWidth="1"/>
    <col min="3072" max="3072" width="2.5703125" style="159" customWidth="1"/>
    <col min="3073" max="3073" width="3.5703125" style="159" customWidth="1"/>
    <col min="3074" max="3074" width="3" style="159" customWidth="1"/>
    <col min="3075" max="3075" width="4.28515625" style="159" customWidth="1"/>
    <col min="3076" max="3076" width="4.140625" style="159" customWidth="1"/>
    <col min="3077" max="3077" width="5.140625" style="159" customWidth="1"/>
    <col min="3078" max="3078" width="5.7109375" style="159" customWidth="1"/>
    <col min="3079" max="3079" width="51.7109375" style="159" customWidth="1"/>
    <col min="3080" max="3080" width="17.85546875" style="159" customWidth="1"/>
    <col min="3081" max="3081" width="16.85546875" style="159" customWidth="1"/>
    <col min="3082" max="3082" width="17.5703125" style="159" customWidth="1"/>
    <col min="3083" max="3325" width="9.140625" style="159"/>
    <col min="3326" max="3326" width="3.85546875" style="159" customWidth="1"/>
    <col min="3327" max="3327" width="4.42578125" style="159" customWidth="1"/>
    <col min="3328" max="3328" width="2.5703125" style="159" customWidth="1"/>
    <col min="3329" max="3329" width="3.5703125" style="159" customWidth="1"/>
    <col min="3330" max="3330" width="3" style="159" customWidth="1"/>
    <col min="3331" max="3331" width="4.28515625" style="159" customWidth="1"/>
    <col min="3332" max="3332" width="4.140625" style="159" customWidth="1"/>
    <col min="3333" max="3333" width="5.140625" style="159" customWidth="1"/>
    <col min="3334" max="3334" width="5.7109375" style="159" customWidth="1"/>
    <col min="3335" max="3335" width="51.7109375" style="159" customWidth="1"/>
    <col min="3336" max="3336" width="17.85546875" style="159" customWidth="1"/>
    <col min="3337" max="3337" width="16.85546875" style="159" customWidth="1"/>
    <col min="3338" max="3338" width="17.5703125" style="159" customWidth="1"/>
    <col min="3339" max="3581" width="9.140625" style="159"/>
    <col min="3582" max="3582" width="3.85546875" style="159" customWidth="1"/>
    <col min="3583" max="3583" width="4.42578125" style="159" customWidth="1"/>
    <col min="3584" max="3584" width="2.5703125" style="159" customWidth="1"/>
    <col min="3585" max="3585" width="3.5703125" style="159" customWidth="1"/>
    <col min="3586" max="3586" width="3" style="159" customWidth="1"/>
    <col min="3587" max="3587" width="4.28515625" style="159" customWidth="1"/>
    <col min="3588" max="3588" width="4.140625" style="159" customWidth="1"/>
    <col min="3589" max="3589" width="5.140625" style="159" customWidth="1"/>
    <col min="3590" max="3590" width="5.7109375" style="159" customWidth="1"/>
    <col min="3591" max="3591" width="51.7109375" style="159" customWidth="1"/>
    <col min="3592" max="3592" width="17.85546875" style="159" customWidth="1"/>
    <col min="3593" max="3593" width="16.85546875" style="159" customWidth="1"/>
    <col min="3594" max="3594" width="17.5703125" style="159" customWidth="1"/>
    <col min="3595" max="3837" width="9.140625" style="159"/>
    <col min="3838" max="3838" width="3.85546875" style="159" customWidth="1"/>
    <col min="3839" max="3839" width="4.42578125" style="159" customWidth="1"/>
    <col min="3840" max="3840" width="2.5703125" style="159" customWidth="1"/>
    <col min="3841" max="3841" width="3.5703125" style="159" customWidth="1"/>
    <col min="3842" max="3842" width="3" style="159" customWidth="1"/>
    <col min="3843" max="3843" width="4.28515625" style="159" customWidth="1"/>
    <col min="3844" max="3844" width="4.140625" style="159" customWidth="1"/>
    <col min="3845" max="3845" width="5.140625" style="159" customWidth="1"/>
    <col min="3846" max="3846" width="5.7109375" style="159" customWidth="1"/>
    <col min="3847" max="3847" width="51.7109375" style="159" customWidth="1"/>
    <col min="3848" max="3848" width="17.85546875" style="159" customWidth="1"/>
    <col min="3849" max="3849" width="16.85546875" style="159" customWidth="1"/>
    <col min="3850" max="3850" width="17.5703125" style="159" customWidth="1"/>
    <col min="3851" max="4093" width="9.140625" style="159"/>
    <col min="4094" max="4094" width="3.85546875" style="159" customWidth="1"/>
    <col min="4095" max="4095" width="4.42578125" style="159" customWidth="1"/>
    <col min="4096" max="4096" width="2.5703125" style="159" customWidth="1"/>
    <col min="4097" max="4097" width="3.5703125" style="159" customWidth="1"/>
    <col min="4098" max="4098" width="3" style="159" customWidth="1"/>
    <col min="4099" max="4099" width="4.28515625" style="159" customWidth="1"/>
    <col min="4100" max="4100" width="4.140625" style="159" customWidth="1"/>
    <col min="4101" max="4101" width="5.140625" style="159" customWidth="1"/>
    <col min="4102" max="4102" width="5.7109375" style="159" customWidth="1"/>
    <col min="4103" max="4103" width="51.7109375" style="159" customWidth="1"/>
    <col min="4104" max="4104" width="17.85546875" style="159" customWidth="1"/>
    <col min="4105" max="4105" width="16.85546875" style="159" customWidth="1"/>
    <col min="4106" max="4106" width="17.5703125" style="159" customWidth="1"/>
    <col min="4107" max="4349" width="9.140625" style="159"/>
    <col min="4350" max="4350" width="3.85546875" style="159" customWidth="1"/>
    <col min="4351" max="4351" width="4.42578125" style="159" customWidth="1"/>
    <col min="4352" max="4352" width="2.5703125" style="159" customWidth="1"/>
    <col min="4353" max="4353" width="3.5703125" style="159" customWidth="1"/>
    <col min="4354" max="4354" width="3" style="159" customWidth="1"/>
    <col min="4355" max="4355" width="4.28515625" style="159" customWidth="1"/>
    <col min="4356" max="4356" width="4.140625" style="159" customWidth="1"/>
    <col min="4357" max="4357" width="5.140625" style="159" customWidth="1"/>
    <col min="4358" max="4358" width="5.7109375" style="159" customWidth="1"/>
    <col min="4359" max="4359" width="51.7109375" style="159" customWidth="1"/>
    <col min="4360" max="4360" width="17.85546875" style="159" customWidth="1"/>
    <col min="4361" max="4361" width="16.85546875" style="159" customWidth="1"/>
    <col min="4362" max="4362" width="17.5703125" style="159" customWidth="1"/>
    <col min="4363" max="4605" width="9.140625" style="159"/>
    <col min="4606" max="4606" width="3.85546875" style="159" customWidth="1"/>
    <col min="4607" max="4607" width="4.42578125" style="159" customWidth="1"/>
    <col min="4608" max="4608" width="2.5703125" style="159" customWidth="1"/>
    <col min="4609" max="4609" width="3.5703125" style="159" customWidth="1"/>
    <col min="4610" max="4610" width="3" style="159" customWidth="1"/>
    <col min="4611" max="4611" width="4.28515625" style="159" customWidth="1"/>
    <col min="4612" max="4612" width="4.140625" style="159" customWidth="1"/>
    <col min="4613" max="4613" width="5.140625" style="159" customWidth="1"/>
    <col min="4614" max="4614" width="5.7109375" style="159" customWidth="1"/>
    <col min="4615" max="4615" width="51.7109375" style="159" customWidth="1"/>
    <col min="4616" max="4616" width="17.85546875" style="159" customWidth="1"/>
    <col min="4617" max="4617" width="16.85546875" style="159" customWidth="1"/>
    <col min="4618" max="4618" width="17.5703125" style="159" customWidth="1"/>
    <col min="4619" max="4861" width="9.140625" style="159"/>
    <col min="4862" max="4862" width="3.85546875" style="159" customWidth="1"/>
    <col min="4863" max="4863" width="4.42578125" style="159" customWidth="1"/>
    <col min="4864" max="4864" width="2.5703125" style="159" customWidth="1"/>
    <col min="4865" max="4865" width="3.5703125" style="159" customWidth="1"/>
    <col min="4866" max="4866" width="3" style="159" customWidth="1"/>
    <col min="4867" max="4867" width="4.28515625" style="159" customWidth="1"/>
    <col min="4868" max="4868" width="4.140625" style="159" customWidth="1"/>
    <col min="4869" max="4869" width="5.140625" style="159" customWidth="1"/>
    <col min="4870" max="4870" width="5.7109375" style="159" customWidth="1"/>
    <col min="4871" max="4871" width="51.7109375" style="159" customWidth="1"/>
    <col min="4872" max="4872" width="17.85546875" style="159" customWidth="1"/>
    <col min="4873" max="4873" width="16.85546875" style="159" customWidth="1"/>
    <col min="4874" max="4874" width="17.5703125" style="159" customWidth="1"/>
    <col min="4875" max="5117" width="9.140625" style="159"/>
    <col min="5118" max="5118" width="3.85546875" style="159" customWidth="1"/>
    <col min="5119" max="5119" width="4.42578125" style="159" customWidth="1"/>
    <col min="5120" max="5120" width="2.5703125" style="159" customWidth="1"/>
    <col min="5121" max="5121" width="3.5703125" style="159" customWidth="1"/>
    <col min="5122" max="5122" width="3" style="159" customWidth="1"/>
    <col min="5123" max="5123" width="4.28515625" style="159" customWidth="1"/>
    <col min="5124" max="5124" width="4.140625" style="159" customWidth="1"/>
    <col min="5125" max="5125" width="5.140625" style="159" customWidth="1"/>
    <col min="5126" max="5126" width="5.7109375" style="159" customWidth="1"/>
    <col min="5127" max="5127" width="51.7109375" style="159" customWidth="1"/>
    <col min="5128" max="5128" width="17.85546875" style="159" customWidth="1"/>
    <col min="5129" max="5129" width="16.85546875" style="159" customWidth="1"/>
    <col min="5130" max="5130" width="17.5703125" style="159" customWidth="1"/>
    <col min="5131" max="5373" width="9.140625" style="159"/>
    <col min="5374" max="5374" width="3.85546875" style="159" customWidth="1"/>
    <col min="5375" max="5375" width="4.42578125" style="159" customWidth="1"/>
    <col min="5376" max="5376" width="2.5703125" style="159" customWidth="1"/>
    <col min="5377" max="5377" width="3.5703125" style="159" customWidth="1"/>
    <col min="5378" max="5378" width="3" style="159" customWidth="1"/>
    <col min="5379" max="5379" width="4.28515625" style="159" customWidth="1"/>
    <col min="5380" max="5380" width="4.140625" style="159" customWidth="1"/>
    <col min="5381" max="5381" width="5.140625" style="159" customWidth="1"/>
    <col min="5382" max="5382" width="5.7109375" style="159" customWidth="1"/>
    <col min="5383" max="5383" width="51.7109375" style="159" customWidth="1"/>
    <col min="5384" max="5384" width="17.85546875" style="159" customWidth="1"/>
    <col min="5385" max="5385" width="16.85546875" style="159" customWidth="1"/>
    <col min="5386" max="5386" width="17.5703125" style="159" customWidth="1"/>
    <col min="5387" max="5629" width="9.140625" style="159"/>
    <col min="5630" max="5630" width="3.85546875" style="159" customWidth="1"/>
    <col min="5631" max="5631" width="4.42578125" style="159" customWidth="1"/>
    <col min="5632" max="5632" width="2.5703125" style="159" customWidth="1"/>
    <col min="5633" max="5633" width="3.5703125" style="159" customWidth="1"/>
    <col min="5634" max="5634" width="3" style="159" customWidth="1"/>
    <col min="5635" max="5635" width="4.28515625" style="159" customWidth="1"/>
    <col min="5636" max="5636" width="4.140625" style="159" customWidth="1"/>
    <col min="5637" max="5637" width="5.140625" style="159" customWidth="1"/>
    <col min="5638" max="5638" width="5.7109375" style="159" customWidth="1"/>
    <col min="5639" max="5639" width="51.7109375" style="159" customWidth="1"/>
    <col min="5640" max="5640" width="17.85546875" style="159" customWidth="1"/>
    <col min="5641" max="5641" width="16.85546875" style="159" customWidth="1"/>
    <col min="5642" max="5642" width="17.5703125" style="159" customWidth="1"/>
    <col min="5643" max="5885" width="9.140625" style="159"/>
    <col min="5886" max="5886" width="3.85546875" style="159" customWidth="1"/>
    <col min="5887" max="5887" width="4.42578125" style="159" customWidth="1"/>
    <col min="5888" max="5888" width="2.5703125" style="159" customWidth="1"/>
    <col min="5889" max="5889" width="3.5703125" style="159" customWidth="1"/>
    <col min="5890" max="5890" width="3" style="159" customWidth="1"/>
    <col min="5891" max="5891" width="4.28515625" style="159" customWidth="1"/>
    <col min="5892" max="5892" width="4.140625" style="159" customWidth="1"/>
    <col min="5893" max="5893" width="5.140625" style="159" customWidth="1"/>
    <col min="5894" max="5894" width="5.7109375" style="159" customWidth="1"/>
    <col min="5895" max="5895" width="51.7109375" style="159" customWidth="1"/>
    <col min="5896" max="5896" width="17.85546875" style="159" customWidth="1"/>
    <col min="5897" max="5897" width="16.85546875" style="159" customWidth="1"/>
    <col min="5898" max="5898" width="17.5703125" style="159" customWidth="1"/>
    <col min="5899" max="6141" width="9.140625" style="159"/>
    <col min="6142" max="6142" width="3.85546875" style="159" customWidth="1"/>
    <col min="6143" max="6143" width="4.42578125" style="159" customWidth="1"/>
    <col min="6144" max="6144" width="2.5703125" style="159" customWidth="1"/>
    <col min="6145" max="6145" width="3.5703125" style="159" customWidth="1"/>
    <col min="6146" max="6146" width="3" style="159" customWidth="1"/>
    <col min="6147" max="6147" width="4.28515625" style="159" customWidth="1"/>
    <col min="6148" max="6148" width="4.140625" style="159" customWidth="1"/>
    <col min="6149" max="6149" width="5.140625" style="159" customWidth="1"/>
    <col min="6150" max="6150" width="5.7109375" style="159" customWidth="1"/>
    <col min="6151" max="6151" width="51.7109375" style="159" customWidth="1"/>
    <col min="6152" max="6152" width="17.85546875" style="159" customWidth="1"/>
    <col min="6153" max="6153" width="16.85546875" style="159" customWidth="1"/>
    <col min="6154" max="6154" width="17.5703125" style="159" customWidth="1"/>
    <col min="6155" max="6397" width="9.140625" style="159"/>
    <col min="6398" max="6398" width="3.85546875" style="159" customWidth="1"/>
    <col min="6399" max="6399" width="4.42578125" style="159" customWidth="1"/>
    <col min="6400" max="6400" width="2.5703125" style="159" customWidth="1"/>
    <col min="6401" max="6401" width="3.5703125" style="159" customWidth="1"/>
    <col min="6402" max="6402" width="3" style="159" customWidth="1"/>
    <col min="6403" max="6403" width="4.28515625" style="159" customWidth="1"/>
    <col min="6404" max="6404" width="4.140625" style="159" customWidth="1"/>
    <col min="6405" max="6405" width="5.140625" style="159" customWidth="1"/>
    <col min="6406" max="6406" width="5.7109375" style="159" customWidth="1"/>
    <col min="6407" max="6407" width="51.7109375" style="159" customWidth="1"/>
    <col min="6408" max="6408" width="17.85546875" style="159" customWidth="1"/>
    <col min="6409" max="6409" width="16.85546875" style="159" customWidth="1"/>
    <col min="6410" max="6410" width="17.5703125" style="159" customWidth="1"/>
    <col min="6411" max="6653" width="9.140625" style="159"/>
    <col min="6654" max="6654" width="3.85546875" style="159" customWidth="1"/>
    <col min="6655" max="6655" width="4.42578125" style="159" customWidth="1"/>
    <col min="6656" max="6656" width="2.5703125" style="159" customWidth="1"/>
    <col min="6657" max="6657" width="3.5703125" style="159" customWidth="1"/>
    <col min="6658" max="6658" width="3" style="159" customWidth="1"/>
    <col min="6659" max="6659" width="4.28515625" style="159" customWidth="1"/>
    <col min="6660" max="6660" width="4.140625" style="159" customWidth="1"/>
    <col min="6661" max="6661" width="5.140625" style="159" customWidth="1"/>
    <col min="6662" max="6662" width="5.7109375" style="159" customWidth="1"/>
    <col min="6663" max="6663" width="51.7109375" style="159" customWidth="1"/>
    <col min="6664" max="6664" width="17.85546875" style="159" customWidth="1"/>
    <col min="6665" max="6665" width="16.85546875" style="159" customWidth="1"/>
    <col min="6666" max="6666" width="17.5703125" style="159" customWidth="1"/>
    <col min="6667" max="6909" width="9.140625" style="159"/>
    <col min="6910" max="6910" width="3.85546875" style="159" customWidth="1"/>
    <col min="6911" max="6911" width="4.42578125" style="159" customWidth="1"/>
    <col min="6912" max="6912" width="2.5703125" style="159" customWidth="1"/>
    <col min="6913" max="6913" width="3.5703125" style="159" customWidth="1"/>
    <col min="6914" max="6914" width="3" style="159" customWidth="1"/>
    <col min="6915" max="6915" width="4.28515625" style="159" customWidth="1"/>
    <col min="6916" max="6916" width="4.140625" style="159" customWidth="1"/>
    <col min="6917" max="6917" width="5.140625" style="159" customWidth="1"/>
    <col min="6918" max="6918" width="5.7109375" style="159" customWidth="1"/>
    <col min="6919" max="6919" width="51.7109375" style="159" customWidth="1"/>
    <col min="6920" max="6920" width="17.85546875" style="159" customWidth="1"/>
    <col min="6921" max="6921" width="16.85546875" style="159" customWidth="1"/>
    <col min="6922" max="6922" width="17.5703125" style="159" customWidth="1"/>
    <col min="6923" max="7165" width="9.140625" style="159"/>
    <col min="7166" max="7166" width="3.85546875" style="159" customWidth="1"/>
    <col min="7167" max="7167" width="4.42578125" style="159" customWidth="1"/>
    <col min="7168" max="7168" width="2.5703125" style="159" customWidth="1"/>
    <col min="7169" max="7169" width="3.5703125" style="159" customWidth="1"/>
    <col min="7170" max="7170" width="3" style="159" customWidth="1"/>
    <col min="7171" max="7171" width="4.28515625" style="159" customWidth="1"/>
    <col min="7172" max="7172" width="4.140625" style="159" customWidth="1"/>
    <col min="7173" max="7173" width="5.140625" style="159" customWidth="1"/>
    <col min="7174" max="7174" width="5.7109375" style="159" customWidth="1"/>
    <col min="7175" max="7175" width="51.7109375" style="159" customWidth="1"/>
    <col min="7176" max="7176" width="17.85546875" style="159" customWidth="1"/>
    <col min="7177" max="7177" width="16.85546875" style="159" customWidth="1"/>
    <col min="7178" max="7178" width="17.5703125" style="159" customWidth="1"/>
    <col min="7179" max="7421" width="9.140625" style="159"/>
    <col min="7422" max="7422" width="3.85546875" style="159" customWidth="1"/>
    <col min="7423" max="7423" width="4.42578125" style="159" customWidth="1"/>
    <col min="7424" max="7424" width="2.5703125" style="159" customWidth="1"/>
    <col min="7425" max="7425" width="3.5703125" style="159" customWidth="1"/>
    <col min="7426" max="7426" width="3" style="159" customWidth="1"/>
    <col min="7427" max="7427" width="4.28515625" style="159" customWidth="1"/>
    <col min="7428" max="7428" width="4.140625" style="159" customWidth="1"/>
    <col min="7429" max="7429" width="5.140625" style="159" customWidth="1"/>
    <col min="7430" max="7430" width="5.7109375" style="159" customWidth="1"/>
    <col min="7431" max="7431" width="51.7109375" style="159" customWidth="1"/>
    <col min="7432" max="7432" width="17.85546875" style="159" customWidth="1"/>
    <col min="7433" max="7433" width="16.85546875" style="159" customWidth="1"/>
    <col min="7434" max="7434" width="17.5703125" style="159" customWidth="1"/>
    <col min="7435" max="7677" width="9.140625" style="159"/>
    <col min="7678" max="7678" width="3.85546875" style="159" customWidth="1"/>
    <col min="7679" max="7679" width="4.42578125" style="159" customWidth="1"/>
    <col min="7680" max="7680" width="2.5703125" style="159" customWidth="1"/>
    <col min="7681" max="7681" width="3.5703125" style="159" customWidth="1"/>
    <col min="7682" max="7682" width="3" style="159" customWidth="1"/>
    <col min="7683" max="7683" width="4.28515625" style="159" customWidth="1"/>
    <col min="7684" max="7684" width="4.140625" style="159" customWidth="1"/>
    <col min="7685" max="7685" width="5.140625" style="159" customWidth="1"/>
    <col min="7686" max="7686" width="5.7109375" style="159" customWidth="1"/>
    <col min="7687" max="7687" width="51.7109375" style="159" customWidth="1"/>
    <col min="7688" max="7688" width="17.85546875" style="159" customWidth="1"/>
    <col min="7689" max="7689" width="16.85546875" style="159" customWidth="1"/>
    <col min="7690" max="7690" width="17.5703125" style="159" customWidth="1"/>
    <col min="7691" max="7933" width="9.140625" style="159"/>
    <col min="7934" max="7934" width="3.85546875" style="159" customWidth="1"/>
    <col min="7935" max="7935" width="4.42578125" style="159" customWidth="1"/>
    <col min="7936" max="7936" width="2.5703125" style="159" customWidth="1"/>
    <col min="7937" max="7937" width="3.5703125" style="159" customWidth="1"/>
    <col min="7938" max="7938" width="3" style="159" customWidth="1"/>
    <col min="7939" max="7939" width="4.28515625" style="159" customWidth="1"/>
    <col min="7940" max="7940" width="4.140625" style="159" customWidth="1"/>
    <col min="7941" max="7941" width="5.140625" style="159" customWidth="1"/>
    <col min="7942" max="7942" width="5.7109375" style="159" customWidth="1"/>
    <col min="7943" max="7943" width="51.7109375" style="159" customWidth="1"/>
    <col min="7944" max="7944" width="17.85546875" style="159" customWidth="1"/>
    <col min="7945" max="7945" width="16.85546875" style="159" customWidth="1"/>
    <col min="7946" max="7946" width="17.5703125" style="159" customWidth="1"/>
    <col min="7947" max="8189" width="9.140625" style="159"/>
    <col min="8190" max="8190" width="3.85546875" style="159" customWidth="1"/>
    <col min="8191" max="8191" width="4.42578125" style="159" customWidth="1"/>
    <col min="8192" max="8192" width="2.5703125" style="159" customWidth="1"/>
    <col min="8193" max="8193" width="3.5703125" style="159" customWidth="1"/>
    <col min="8194" max="8194" width="3" style="159" customWidth="1"/>
    <col min="8195" max="8195" width="4.28515625" style="159" customWidth="1"/>
    <col min="8196" max="8196" width="4.140625" style="159" customWidth="1"/>
    <col min="8197" max="8197" width="5.140625" style="159" customWidth="1"/>
    <col min="8198" max="8198" width="5.7109375" style="159" customWidth="1"/>
    <col min="8199" max="8199" width="51.7109375" style="159" customWidth="1"/>
    <col min="8200" max="8200" width="17.85546875" style="159" customWidth="1"/>
    <col min="8201" max="8201" width="16.85546875" style="159" customWidth="1"/>
    <col min="8202" max="8202" width="17.5703125" style="159" customWidth="1"/>
    <col min="8203" max="8445" width="9.140625" style="159"/>
    <col min="8446" max="8446" width="3.85546875" style="159" customWidth="1"/>
    <col min="8447" max="8447" width="4.42578125" style="159" customWidth="1"/>
    <col min="8448" max="8448" width="2.5703125" style="159" customWidth="1"/>
    <col min="8449" max="8449" width="3.5703125" style="159" customWidth="1"/>
    <col min="8450" max="8450" width="3" style="159" customWidth="1"/>
    <col min="8451" max="8451" width="4.28515625" style="159" customWidth="1"/>
    <col min="8452" max="8452" width="4.140625" style="159" customWidth="1"/>
    <col min="8453" max="8453" width="5.140625" style="159" customWidth="1"/>
    <col min="8454" max="8454" width="5.7109375" style="159" customWidth="1"/>
    <col min="8455" max="8455" width="51.7109375" style="159" customWidth="1"/>
    <col min="8456" max="8456" width="17.85546875" style="159" customWidth="1"/>
    <col min="8457" max="8457" width="16.85546875" style="159" customWidth="1"/>
    <col min="8458" max="8458" width="17.5703125" style="159" customWidth="1"/>
    <col min="8459" max="8701" width="9.140625" style="159"/>
    <col min="8702" max="8702" width="3.85546875" style="159" customWidth="1"/>
    <col min="8703" max="8703" width="4.42578125" style="159" customWidth="1"/>
    <col min="8704" max="8704" width="2.5703125" style="159" customWidth="1"/>
    <col min="8705" max="8705" width="3.5703125" style="159" customWidth="1"/>
    <col min="8706" max="8706" width="3" style="159" customWidth="1"/>
    <col min="8707" max="8707" width="4.28515625" style="159" customWidth="1"/>
    <col min="8708" max="8708" width="4.140625" style="159" customWidth="1"/>
    <col min="8709" max="8709" width="5.140625" style="159" customWidth="1"/>
    <col min="8710" max="8710" width="5.7109375" style="159" customWidth="1"/>
    <col min="8711" max="8711" width="51.7109375" style="159" customWidth="1"/>
    <col min="8712" max="8712" width="17.85546875" style="159" customWidth="1"/>
    <col min="8713" max="8713" width="16.85546875" style="159" customWidth="1"/>
    <col min="8714" max="8714" width="17.5703125" style="159" customWidth="1"/>
    <col min="8715" max="8957" width="9.140625" style="159"/>
    <col min="8958" max="8958" width="3.85546875" style="159" customWidth="1"/>
    <col min="8959" max="8959" width="4.42578125" style="159" customWidth="1"/>
    <col min="8960" max="8960" width="2.5703125" style="159" customWidth="1"/>
    <col min="8961" max="8961" width="3.5703125" style="159" customWidth="1"/>
    <col min="8962" max="8962" width="3" style="159" customWidth="1"/>
    <col min="8963" max="8963" width="4.28515625" style="159" customWidth="1"/>
    <col min="8964" max="8964" width="4.140625" style="159" customWidth="1"/>
    <col min="8965" max="8965" width="5.140625" style="159" customWidth="1"/>
    <col min="8966" max="8966" width="5.7109375" style="159" customWidth="1"/>
    <col min="8967" max="8967" width="51.7109375" style="159" customWidth="1"/>
    <col min="8968" max="8968" width="17.85546875" style="159" customWidth="1"/>
    <col min="8969" max="8969" width="16.85546875" style="159" customWidth="1"/>
    <col min="8970" max="8970" width="17.5703125" style="159" customWidth="1"/>
    <col min="8971" max="9213" width="9.140625" style="159"/>
    <col min="9214" max="9214" width="3.85546875" style="159" customWidth="1"/>
    <col min="9215" max="9215" width="4.42578125" style="159" customWidth="1"/>
    <col min="9216" max="9216" width="2.5703125" style="159" customWidth="1"/>
    <col min="9217" max="9217" width="3.5703125" style="159" customWidth="1"/>
    <col min="9218" max="9218" width="3" style="159" customWidth="1"/>
    <col min="9219" max="9219" width="4.28515625" style="159" customWidth="1"/>
    <col min="9220" max="9220" width="4.140625" style="159" customWidth="1"/>
    <col min="9221" max="9221" width="5.140625" style="159" customWidth="1"/>
    <col min="9222" max="9222" width="5.7109375" style="159" customWidth="1"/>
    <col min="9223" max="9223" width="51.7109375" style="159" customWidth="1"/>
    <col min="9224" max="9224" width="17.85546875" style="159" customWidth="1"/>
    <col min="9225" max="9225" width="16.85546875" style="159" customWidth="1"/>
    <col min="9226" max="9226" width="17.5703125" style="159" customWidth="1"/>
    <col min="9227" max="9469" width="9.140625" style="159"/>
    <col min="9470" max="9470" width="3.85546875" style="159" customWidth="1"/>
    <col min="9471" max="9471" width="4.42578125" style="159" customWidth="1"/>
    <col min="9472" max="9472" width="2.5703125" style="159" customWidth="1"/>
    <col min="9473" max="9473" width="3.5703125" style="159" customWidth="1"/>
    <col min="9474" max="9474" width="3" style="159" customWidth="1"/>
    <col min="9475" max="9475" width="4.28515625" style="159" customWidth="1"/>
    <col min="9476" max="9476" width="4.140625" style="159" customWidth="1"/>
    <col min="9477" max="9477" width="5.140625" style="159" customWidth="1"/>
    <col min="9478" max="9478" width="5.7109375" style="159" customWidth="1"/>
    <col min="9479" max="9479" width="51.7109375" style="159" customWidth="1"/>
    <col min="9480" max="9480" width="17.85546875" style="159" customWidth="1"/>
    <col min="9481" max="9481" width="16.85546875" style="159" customWidth="1"/>
    <col min="9482" max="9482" width="17.5703125" style="159" customWidth="1"/>
    <col min="9483" max="9725" width="9.140625" style="159"/>
    <col min="9726" max="9726" width="3.85546875" style="159" customWidth="1"/>
    <col min="9727" max="9727" width="4.42578125" style="159" customWidth="1"/>
    <col min="9728" max="9728" width="2.5703125" style="159" customWidth="1"/>
    <col min="9729" max="9729" width="3.5703125" style="159" customWidth="1"/>
    <col min="9730" max="9730" width="3" style="159" customWidth="1"/>
    <col min="9731" max="9731" width="4.28515625" style="159" customWidth="1"/>
    <col min="9732" max="9732" width="4.140625" style="159" customWidth="1"/>
    <col min="9733" max="9733" width="5.140625" style="159" customWidth="1"/>
    <col min="9734" max="9734" width="5.7109375" style="159" customWidth="1"/>
    <col min="9735" max="9735" width="51.7109375" style="159" customWidth="1"/>
    <col min="9736" max="9736" width="17.85546875" style="159" customWidth="1"/>
    <col min="9737" max="9737" width="16.85546875" style="159" customWidth="1"/>
    <col min="9738" max="9738" width="17.5703125" style="159" customWidth="1"/>
    <col min="9739" max="9981" width="9.140625" style="159"/>
    <col min="9982" max="9982" width="3.85546875" style="159" customWidth="1"/>
    <col min="9983" max="9983" width="4.42578125" style="159" customWidth="1"/>
    <col min="9984" max="9984" width="2.5703125" style="159" customWidth="1"/>
    <col min="9985" max="9985" width="3.5703125" style="159" customWidth="1"/>
    <col min="9986" max="9986" width="3" style="159" customWidth="1"/>
    <col min="9987" max="9987" width="4.28515625" style="159" customWidth="1"/>
    <col min="9988" max="9988" width="4.140625" style="159" customWidth="1"/>
    <col min="9989" max="9989" width="5.140625" style="159" customWidth="1"/>
    <col min="9990" max="9990" width="5.7109375" style="159" customWidth="1"/>
    <col min="9991" max="9991" width="51.7109375" style="159" customWidth="1"/>
    <col min="9992" max="9992" width="17.85546875" style="159" customWidth="1"/>
    <col min="9993" max="9993" width="16.85546875" style="159" customWidth="1"/>
    <col min="9994" max="9994" width="17.5703125" style="159" customWidth="1"/>
    <col min="9995" max="10237" width="9.140625" style="159"/>
    <col min="10238" max="10238" width="3.85546875" style="159" customWidth="1"/>
    <col min="10239" max="10239" width="4.42578125" style="159" customWidth="1"/>
    <col min="10240" max="10240" width="2.5703125" style="159" customWidth="1"/>
    <col min="10241" max="10241" width="3.5703125" style="159" customWidth="1"/>
    <col min="10242" max="10242" width="3" style="159" customWidth="1"/>
    <col min="10243" max="10243" width="4.28515625" style="159" customWidth="1"/>
    <col min="10244" max="10244" width="4.140625" style="159" customWidth="1"/>
    <col min="10245" max="10245" width="5.140625" style="159" customWidth="1"/>
    <col min="10246" max="10246" width="5.7109375" style="159" customWidth="1"/>
    <col min="10247" max="10247" width="51.7109375" style="159" customWidth="1"/>
    <col min="10248" max="10248" width="17.85546875" style="159" customWidth="1"/>
    <col min="10249" max="10249" width="16.85546875" style="159" customWidth="1"/>
    <col min="10250" max="10250" width="17.5703125" style="159" customWidth="1"/>
    <col min="10251" max="10493" width="9.140625" style="159"/>
    <col min="10494" max="10494" width="3.85546875" style="159" customWidth="1"/>
    <col min="10495" max="10495" width="4.42578125" style="159" customWidth="1"/>
    <col min="10496" max="10496" width="2.5703125" style="159" customWidth="1"/>
    <col min="10497" max="10497" width="3.5703125" style="159" customWidth="1"/>
    <col min="10498" max="10498" width="3" style="159" customWidth="1"/>
    <col min="10499" max="10499" width="4.28515625" style="159" customWidth="1"/>
    <col min="10500" max="10500" width="4.140625" style="159" customWidth="1"/>
    <col min="10501" max="10501" width="5.140625" style="159" customWidth="1"/>
    <col min="10502" max="10502" width="5.7109375" style="159" customWidth="1"/>
    <col min="10503" max="10503" width="51.7109375" style="159" customWidth="1"/>
    <col min="10504" max="10504" width="17.85546875" style="159" customWidth="1"/>
    <col min="10505" max="10505" width="16.85546875" style="159" customWidth="1"/>
    <col min="10506" max="10506" width="17.5703125" style="159" customWidth="1"/>
    <col min="10507" max="10749" width="9.140625" style="159"/>
    <col min="10750" max="10750" width="3.85546875" style="159" customWidth="1"/>
    <col min="10751" max="10751" width="4.42578125" style="159" customWidth="1"/>
    <col min="10752" max="10752" width="2.5703125" style="159" customWidth="1"/>
    <col min="10753" max="10753" width="3.5703125" style="159" customWidth="1"/>
    <col min="10754" max="10754" width="3" style="159" customWidth="1"/>
    <col min="10755" max="10755" width="4.28515625" style="159" customWidth="1"/>
    <col min="10756" max="10756" width="4.140625" style="159" customWidth="1"/>
    <col min="10757" max="10757" width="5.140625" style="159" customWidth="1"/>
    <col min="10758" max="10758" width="5.7109375" style="159" customWidth="1"/>
    <col min="10759" max="10759" width="51.7109375" style="159" customWidth="1"/>
    <col min="10760" max="10760" width="17.85546875" style="159" customWidth="1"/>
    <col min="10761" max="10761" width="16.85546875" style="159" customWidth="1"/>
    <col min="10762" max="10762" width="17.5703125" style="159" customWidth="1"/>
    <col min="10763" max="11005" width="9.140625" style="159"/>
    <col min="11006" max="11006" width="3.85546875" style="159" customWidth="1"/>
    <col min="11007" max="11007" width="4.42578125" style="159" customWidth="1"/>
    <col min="11008" max="11008" width="2.5703125" style="159" customWidth="1"/>
    <col min="11009" max="11009" width="3.5703125" style="159" customWidth="1"/>
    <col min="11010" max="11010" width="3" style="159" customWidth="1"/>
    <col min="11011" max="11011" width="4.28515625" style="159" customWidth="1"/>
    <col min="11012" max="11012" width="4.140625" style="159" customWidth="1"/>
    <col min="11013" max="11013" width="5.140625" style="159" customWidth="1"/>
    <col min="11014" max="11014" width="5.7109375" style="159" customWidth="1"/>
    <col min="11015" max="11015" width="51.7109375" style="159" customWidth="1"/>
    <col min="11016" max="11016" width="17.85546875" style="159" customWidth="1"/>
    <col min="11017" max="11017" width="16.85546875" style="159" customWidth="1"/>
    <col min="11018" max="11018" width="17.5703125" style="159" customWidth="1"/>
    <col min="11019" max="11261" width="9.140625" style="159"/>
    <col min="11262" max="11262" width="3.85546875" style="159" customWidth="1"/>
    <col min="11263" max="11263" width="4.42578125" style="159" customWidth="1"/>
    <col min="11264" max="11264" width="2.5703125" style="159" customWidth="1"/>
    <col min="11265" max="11265" width="3.5703125" style="159" customWidth="1"/>
    <col min="11266" max="11266" width="3" style="159" customWidth="1"/>
    <col min="11267" max="11267" width="4.28515625" style="159" customWidth="1"/>
    <col min="11268" max="11268" width="4.140625" style="159" customWidth="1"/>
    <col min="11269" max="11269" width="5.140625" style="159" customWidth="1"/>
    <col min="11270" max="11270" width="5.7109375" style="159" customWidth="1"/>
    <col min="11271" max="11271" width="51.7109375" style="159" customWidth="1"/>
    <col min="11272" max="11272" width="17.85546875" style="159" customWidth="1"/>
    <col min="11273" max="11273" width="16.85546875" style="159" customWidth="1"/>
    <col min="11274" max="11274" width="17.5703125" style="159" customWidth="1"/>
    <col min="11275" max="11517" width="9.140625" style="159"/>
    <col min="11518" max="11518" width="3.85546875" style="159" customWidth="1"/>
    <col min="11519" max="11519" width="4.42578125" style="159" customWidth="1"/>
    <col min="11520" max="11520" width="2.5703125" style="159" customWidth="1"/>
    <col min="11521" max="11521" width="3.5703125" style="159" customWidth="1"/>
    <col min="11522" max="11522" width="3" style="159" customWidth="1"/>
    <col min="11523" max="11523" width="4.28515625" style="159" customWidth="1"/>
    <col min="11524" max="11524" width="4.140625" style="159" customWidth="1"/>
    <col min="11525" max="11525" width="5.140625" style="159" customWidth="1"/>
    <col min="11526" max="11526" width="5.7109375" style="159" customWidth="1"/>
    <col min="11527" max="11527" width="51.7109375" style="159" customWidth="1"/>
    <col min="11528" max="11528" width="17.85546875" style="159" customWidth="1"/>
    <col min="11529" max="11529" width="16.85546875" style="159" customWidth="1"/>
    <col min="11530" max="11530" width="17.5703125" style="159" customWidth="1"/>
    <col min="11531" max="11773" width="9.140625" style="159"/>
    <col min="11774" max="11774" width="3.85546875" style="159" customWidth="1"/>
    <col min="11775" max="11775" width="4.42578125" style="159" customWidth="1"/>
    <col min="11776" max="11776" width="2.5703125" style="159" customWidth="1"/>
    <col min="11777" max="11777" width="3.5703125" style="159" customWidth="1"/>
    <col min="11778" max="11778" width="3" style="159" customWidth="1"/>
    <col min="11779" max="11779" width="4.28515625" style="159" customWidth="1"/>
    <col min="11780" max="11780" width="4.140625" style="159" customWidth="1"/>
    <col min="11781" max="11781" width="5.140625" style="159" customWidth="1"/>
    <col min="11782" max="11782" width="5.7109375" style="159" customWidth="1"/>
    <col min="11783" max="11783" width="51.7109375" style="159" customWidth="1"/>
    <col min="11784" max="11784" width="17.85546875" style="159" customWidth="1"/>
    <col min="11785" max="11785" width="16.85546875" style="159" customWidth="1"/>
    <col min="11786" max="11786" width="17.5703125" style="159" customWidth="1"/>
    <col min="11787" max="12029" width="9.140625" style="159"/>
    <col min="12030" max="12030" width="3.85546875" style="159" customWidth="1"/>
    <col min="12031" max="12031" width="4.42578125" style="159" customWidth="1"/>
    <col min="12032" max="12032" width="2.5703125" style="159" customWidth="1"/>
    <col min="12033" max="12033" width="3.5703125" style="159" customWidth="1"/>
    <col min="12034" max="12034" width="3" style="159" customWidth="1"/>
    <col min="12035" max="12035" width="4.28515625" style="159" customWidth="1"/>
    <col min="12036" max="12036" width="4.140625" style="159" customWidth="1"/>
    <col min="12037" max="12037" width="5.140625" style="159" customWidth="1"/>
    <col min="12038" max="12038" width="5.7109375" style="159" customWidth="1"/>
    <col min="12039" max="12039" width="51.7109375" style="159" customWidth="1"/>
    <col min="12040" max="12040" width="17.85546875" style="159" customWidth="1"/>
    <col min="12041" max="12041" width="16.85546875" style="159" customWidth="1"/>
    <col min="12042" max="12042" width="17.5703125" style="159" customWidth="1"/>
    <col min="12043" max="12285" width="9.140625" style="159"/>
    <col min="12286" max="12286" width="3.85546875" style="159" customWidth="1"/>
    <col min="12287" max="12287" width="4.42578125" style="159" customWidth="1"/>
    <col min="12288" max="12288" width="2.5703125" style="159" customWidth="1"/>
    <col min="12289" max="12289" width="3.5703125" style="159" customWidth="1"/>
    <col min="12290" max="12290" width="3" style="159" customWidth="1"/>
    <col min="12291" max="12291" width="4.28515625" style="159" customWidth="1"/>
    <col min="12292" max="12292" width="4.140625" style="159" customWidth="1"/>
    <col min="12293" max="12293" width="5.140625" style="159" customWidth="1"/>
    <col min="12294" max="12294" width="5.7109375" style="159" customWidth="1"/>
    <col min="12295" max="12295" width="51.7109375" style="159" customWidth="1"/>
    <col min="12296" max="12296" width="17.85546875" style="159" customWidth="1"/>
    <col min="12297" max="12297" width="16.85546875" style="159" customWidth="1"/>
    <col min="12298" max="12298" width="17.5703125" style="159" customWidth="1"/>
    <col min="12299" max="12541" width="9.140625" style="159"/>
    <col min="12542" max="12542" width="3.85546875" style="159" customWidth="1"/>
    <col min="12543" max="12543" width="4.42578125" style="159" customWidth="1"/>
    <col min="12544" max="12544" width="2.5703125" style="159" customWidth="1"/>
    <col min="12545" max="12545" width="3.5703125" style="159" customWidth="1"/>
    <col min="12546" max="12546" width="3" style="159" customWidth="1"/>
    <col min="12547" max="12547" width="4.28515625" style="159" customWidth="1"/>
    <col min="12548" max="12548" width="4.140625" style="159" customWidth="1"/>
    <col min="12549" max="12549" width="5.140625" style="159" customWidth="1"/>
    <col min="12550" max="12550" width="5.7109375" style="159" customWidth="1"/>
    <col min="12551" max="12551" width="51.7109375" style="159" customWidth="1"/>
    <col min="12552" max="12552" width="17.85546875" style="159" customWidth="1"/>
    <col min="12553" max="12553" width="16.85546875" style="159" customWidth="1"/>
    <col min="12554" max="12554" width="17.5703125" style="159" customWidth="1"/>
    <col min="12555" max="12797" width="9.140625" style="159"/>
    <col min="12798" max="12798" width="3.85546875" style="159" customWidth="1"/>
    <col min="12799" max="12799" width="4.42578125" style="159" customWidth="1"/>
    <col min="12800" max="12800" width="2.5703125" style="159" customWidth="1"/>
    <col min="12801" max="12801" width="3.5703125" style="159" customWidth="1"/>
    <col min="12802" max="12802" width="3" style="159" customWidth="1"/>
    <col min="12803" max="12803" width="4.28515625" style="159" customWidth="1"/>
    <col min="12804" max="12804" width="4.140625" style="159" customWidth="1"/>
    <col min="12805" max="12805" width="5.140625" style="159" customWidth="1"/>
    <col min="12806" max="12806" width="5.7109375" style="159" customWidth="1"/>
    <col min="12807" max="12807" width="51.7109375" style="159" customWidth="1"/>
    <col min="12808" max="12808" width="17.85546875" style="159" customWidth="1"/>
    <col min="12809" max="12809" width="16.85546875" style="159" customWidth="1"/>
    <col min="12810" max="12810" width="17.5703125" style="159" customWidth="1"/>
    <col min="12811" max="13053" width="9.140625" style="159"/>
    <col min="13054" max="13054" width="3.85546875" style="159" customWidth="1"/>
    <col min="13055" max="13055" width="4.42578125" style="159" customWidth="1"/>
    <col min="13056" max="13056" width="2.5703125" style="159" customWidth="1"/>
    <col min="13057" max="13057" width="3.5703125" style="159" customWidth="1"/>
    <col min="13058" max="13058" width="3" style="159" customWidth="1"/>
    <col min="13059" max="13059" width="4.28515625" style="159" customWidth="1"/>
    <col min="13060" max="13060" width="4.140625" style="159" customWidth="1"/>
    <col min="13061" max="13061" width="5.140625" style="159" customWidth="1"/>
    <col min="13062" max="13062" width="5.7109375" style="159" customWidth="1"/>
    <col min="13063" max="13063" width="51.7109375" style="159" customWidth="1"/>
    <col min="13064" max="13064" width="17.85546875" style="159" customWidth="1"/>
    <col min="13065" max="13065" width="16.85546875" style="159" customWidth="1"/>
    <col min="13066" max="13066" width="17.5703125" style="159" customWidth="1"/>
    <col min="13067" max="13309" width="9.140625" style="159"/>
    <col min="13310" max="13310" width="3.85546875" style="159" customWidth="1"/>
    <col min="13311" max="13311" width="4.42578125" style="159" customWidth="1"/>
    <col min="13312" max="13312" width="2.5703125" style="159" customWidth="1"/>
    <col min="13313" max="13313" width="3.5703125" style="159" customWidth="1"/>
    <col min="13314" max="13314" width="3" style="159" customWidth="1"/>
    <col min="13315" max="13315" width="4.28515625" style="159" customWidth="1"/>
    <col min="13316" max="13316" width="4.140625" style="159" customWidth="1"/>
    <col min="13317" max="13317" width="5.140625" style="159" customWidth="1"/>
    <col min="13318" max="13318" width="5.7109375" style="159" customWidth="1"/>
    <col min="13319" max="13319" width="51.7109375" style="159" customWidth="1"/>
    <col min="13320" max="13320" width="17.85546875" style="159" customWidth="1"/>
    <col min="13321" max="13321" width="16.85546875" style="159" customWidth="1"/>
    <col min="13322" max="13322" width="17.5703125" style="159" customWidth="1"/>
    <col min="13323" max="13565" width="9.140625" style="159"/>
    <col min="13566" max="13566" width="3.85546875" style="159" customWidth="1"/>
    <col min="13567" max="13567" width="4.42578125" style="159" customWidth="1"/>
    <col min="13568" max="13568" width="2.5703125" style="159" customWidth="1"/>
    <col min="13569" max="13569" width="3.5703125" style="159" customWidth="1"/>
    <col min="13570" max="13570" width="3" style="159" customWidth="1"/>
    <col min="13571" max="13571" width="4.28515625" style="159" customWidth="1"/>
    <col min="13572" max="13572" width="4.140625" style="159" customWidth="1"/>
    <col min="13573" max="13573" width="5.140625" style="159" customWidth="1"/>
    <col min="13574" max="13574" width="5.7109375" style="159" customWidth="1"/>
    <col min="13575" max="13575" width="51.7109375" style="159" customWidth="1"/>
    <col min="13576" max="13576" width="17.85546875" style="159" customWidth="1"/>
    <col min="13577" max="13577" width="16.85546875" style="159" customWidth="1"/>
    <col min="13578" max="13578" width="17.5703125" style="159" customWidth="1"/>
    <col min="13579" max="13821" width="9.140625" style="159"/>
    <col min="13822" max="13822" width="3.85546875" style="159" customWidth="1"/>
    <col min="13823" max="13823" width="4.42578125" style="159" customWidth="1"/>
    <col min="13824" max="13824" width="2.5703125" style="159" customWidth="1"/>
    <col min="13825" max="13825" width="3.5703125" style="159" customWidth="1"/>
    <col min="13826" max="13826" width="3" style="159" customWidth="1"/>
    <col min="13827" max="13827" width="4.28515625" style="159" customWidth="1"/>
    <col min="13828" max="13828" width="4.140625" style="159" customWidth="1"/>
    <col min="13829" max="13829" width="5.140625" style="159" customWidth="1"/>
    <col min="13830" max="13830" width="5.7109375" style="159" customWidth="1"/>
    <col min="13831" max="13831" width="51.7109375" style="159" customWidth="1"/>
    <col min="13832" max="13832" width="17.85546875" style="159" customWidth="1"/>
    <col min="13833" max="13833" width="16.85546875" style="159" customWidth="1"/>
    <col min="13834" max="13834" width="17.5703125" style="159" customWidth="1"/>
    <col min="13835" max="14077" width="9.140625" style="159"/>
    <col min="14078" max="14078" width="3.85546875" style="159" customWidth="1"/>
    <col min="14079" max="14079" width="4.42578125" style="159" customWidth="1"/>
    <col min="14080" max="14080" width="2.5703125" style="159" customWidth="1"/>
    <col min="14081" max="14081" width="3.5703125" style="159" customWidth="1"/>
    <col min="14082" max="14082" width="3" style="159" customWidth="1"/>
    <col min="14083" max="14083" width="4.28515625" style="159" customWidth="1"/>
    <col min="14084" max="14084" width="4.140625" style="159" customWidth="1"/>
    <col min="14085" max="14085" width="5.140625" style="159" customWidth="1"/>
    <col min="14086" max="14086" width="5.7109375" style="159" customWidth="1"/>
    <col min="14087" max="14087" width="51.7109375" style="159" customWidth="1"/>
    <col min="14088" max="14088" width="17.85546875" style="159" customWidth="1"/>
    <col min="14089" max="14089" width="16.85546875" style="159" customWidth="1"/>
    <col min="14090" max="14090" width="17.5703125" style="159" customWidth="1"/>
    <col min="14091" max="14333" width="9.140625" style="159"/>
    <col min="14334" max="14334" width="3.85546875" style="159" customWidth="1"/>
    <col min="14335" max="14335" width="4.42578125" style="159" customWidth="1"/>
    <col min="14336" max="14336" width="2.5703125" style="159" customWidth="1"/>
    <col min="14337" max="14337" width="3.5703125" style="159" customWidth="1"/>
    <col min="14338" max="14338" width="3" style="159" customWidth="1"/>
    <col min="14339" max="14339" width="4.28515625" style="159" customWidth="1"/>
    <col min="14340" max="14340" width="4.140625" style="159" customWidth="1"/>
    <col min="14341" max="14341" width="5.140625" style="159" customWidth="1"/>
    <col min="14342" max="14342" width="5.7109375" style="159" customWidth="1"/>
    <col min="14343" max="14343" width="51.7109375" style="159" customWidth="1"/>
    <col min="14344" max="14344" width="17.85546875" style="159" customWidth="1"/>
    <col min="14345" max="14345" width="16.85546875" style="159" customWidth="1"/>
    <col min="14346" max="14346" width="17.5703125" style="159" customWidth="1"/>
    <col min="14347" max="14589" width="9.140625" style="159"/>
    <col min="14590" max="14590" width="3.85546875" style="159" customWidth="1"/>
    <col min="14591" max="14591" width="4.42578125" style="159" customWidth="1"/>
    <col min="14592" max="14592" width="2.5703125" style="159" customWidth="1"/>
    <col min="14593" max="14593" width="3.5703125" style="159" customWidth="1"/>
    <col min="14594" max="14594" width="3" style="159" customWidth="1"/>
    <col min="14595" max="14595" width="4.28515625" style="159" customWidth="1"/>
    <col min="14596" max="14596" width="4.140625" style="159" customWidth="1"/>
    <col min="14597" max="14597" width="5.140625" style="159" customWidth="1"/>
    <col min="14598" max="14598" width="5.7109375" style="159" customWidth="1"/>
    <col min="14599" max="14599" width="51.7109375" style="159" customWidth="1"/>
    <col min="14600" max="14600" width="17.85546875" style="159" customWidth="1"/>
    <col min="14601" max="14601" width="16.85546875" style="159" customWidth="1"/>
    <col min="14602" max="14602" width="17.5703125" style="159" customWidth="1"/>
    <col min="14603" max="14845" width="9.140625" style="159"/>
    <col min="14846" max="14846" width="3.85546875" style="159" customWidth="1"/>
    <col min="14847" max="14847" width="4.42578125" style="159" customWidth="1"/>
    <col min="14848" max="14848" width="2.5703125" style="159" customWidth="1"/>
    <col min="14849" max="14849" width="3.5703125" style="159" customWidth="1"/>
    <col min="14850" max="14850" width="3" style="159" customWidth="1"/>
    <col min="14851" max="14851" width="4.28515625" style="159" customWidth="1"/>
    <col min="14852" max="14852" width="4.140625" style="159" customWidth="1"/>
    <col min="14853" max="14853" width="5.140625" style="159" customWidth="1"/>
    <col min="14854" max="14854" width="5.7109375" style="159" customWidth="1"/>
    <col min="14855" max="14855" width="51.7109375" style="159" customWidth="1"/>
    <col min="14856" max="14856" width="17.85546875" style="159" customWidth="1"/>
    <col min="14857" max="14857" width="16.85546875" style="159" customWidth="1"/>
    <col min="14858" max="14858" width="17.5703125" style="159" customWidth="1"/>
    <col min="14859" max="15101" width="9.140625" style="159"/>
    <col min="15102" max="15102" width="3.85546875" style="159" customWidth="1"/>
    <col min="15103" max="15103" width="4.42578125" style="159" customWidth="1"/>
    <col min="15104" max="15104" width="2.5703125" style="159" customWidth="1"/>
    <col min="15105" max="15105" width="3.5703125" style="159" customWidth="1"/>
    <col min="15106" max="15106" width="3" style="159" customWidth="1"/>
    <col min="15107" max="15107" width="4.28515625" style="159" customWidth="1"/>
    <col min="15108" max="15108" width="4.140625" style="159" customWidth="1"/>
    <col min="15109" max="15109" width="5.140625" style="159" customWidth="1"/>
    <col min="15110" max="15110" width="5.7109375" style="159" customWidth="1"/>
    <col min="15111" max="15111" width="51.7109375" style="159" customWidth="1"/>
    <col min="15112" max="15112" width="17.85546875" style="159" customWidth="1"/>
    <col min="15113" max="15113" width="16.85546875" style="159" customWidth="1"/>
    <col min="15114" max="15114" width="17.5703125" style="159" customWidth="1"/>
    <col min="15115" max="15357" width="9.140625" style="159"/>
    <col min="15358" max="15358" width="3.85546875" style="159" customWidth="1"/>
    <col min="15359" max="15359" width="4.42578125" style="159" customWidth="1"/>
    <col min="15360" max="15360" width="2.5703125" style="159" customWidth="1"/>
    <col min="15361" max="15361" width="3.5703125" style="159" customWidth="1"/>
    <col min="15362" max="15362" width="3" style="159" customWidth="1"/>
    <col min="15363" max="15363" width="4.28515625" style="159" customWidth="1"/>
    <col min="15364" max="15364" width="4.140625" style="159" customWidth="1"/>
    <col min="15365" max="15365" width="5.140625" style="159" customWidth="1"/>
    <col min="15366" max="15366" width="5.7109375" style="159" customWidth="1"/>
    <col min="15367" max="15367" width="51.7109375" style="159" customWidth="1"/>
    <col min="15368" max="15368" width="17.85546875" style="159" customWidth="1"/>
    <col min="15369" max="15369" width="16.85546875" style="159" customWidth="1"/>
    <col min="15370" max="15370" width="17.5703125" style="159" customWidth="1"/>
    <col min="15371" max="15613" width="9.140625" style="159"/>
    <col min="15614" max="15614" width="3.85546875" style="159" customWidth="1"/>
    <col min="15615" max="15615" width="4.42578125" style="159" customWidth="1"/>
    <col min="15616" max="15616" width="2.5703125" style="159" customWidth="1"/>
    <col min="15617" max="15617" width="3.5703125" style="159" customWidth="1"/>
    <col min="15618" max="15618" width="3" style="159" customWidth="1"/>
    <col min="15619" max="15619" width="4.28515625" style="159" customWidth="1"/>
    <col min="15620" max="15620" width="4.140625" style="159" customWidth="1"/>
    <col min="15621" max="15621" width="5.140625" style="159" customWidth="1"/>
    <col min="15622" max="15622" width="5.7109375" style="159" customWidth="1"/>
    <col min="15623" max="15623" width="51.7109375" style="159" customWidth="1"/>
    <col min="15624" max="15624" width="17.85546875" style="159" customWidth="1"/>
    <col min="15625" max="15625" width="16.85546875" style="159" customWidth="1"/>
    <col min="15626" max="15626" width="17.5703125" style="159" customWidth="1"/>
    <col min="15627" max="15869" width="9.140625" style="159"/>
    <col min="15870" max="15870" width="3.85546875" style="159" customWidth="1"/>
    <col min="15871" max="15871" width="4.42578125" style="159" customWidth="1"/>
    <col min="15872" max="15872" width="2.5703125" style="159" customWidth="1"/>
    <col min="15873" max="15873" width="3.5703125" style="159" customWidth="1"/>
    <col min="15874" max="15874" width="3" style="159" customWidth="1"/>
    <col min="15875" max="15875" width="4.28515625" style="159" customWidth="1"/>
    <col min="15876" max="15876" width="4.140625" style="159" customWidth="1"/>
    <col min="15877" max="15877" width="5.140625" style="159" customWidth="1"/>
    <col min="15878" max="15878" width="5.7109375" style="159" customWidth="1"/>
    <col min="15879" max="15879" width="51.7109375" style="159" customWidth="1"/>
    <col min="15880" max="15880" width="17.85546875" style="159" customWidth="1"/>
    <col min="15881" max="15881" width="16.85546875" style="159" customWidth="1"/>
    <col min="15882" max="15882" width="17.5703125" style="159" customWidth="1"/>
    <col min="15883" max="16125" width="9.140625" style="159"/>
    <col min="16126" max="16126" width="3.85546875" style="159" customWidth="1"/>
    <col min="16127" max="16127" width="4.42578125" style="159" customWidth="1"/>
    <col min="16128" max="16128" width="2.5703125" style="159" customWidth="1"/>
    <col min="16129" max="16129" width="3.5703125" style="159" customWidth="1"/>
    <col min="16130" max="16130" width="3" style="159" customWidth="1"/>
    <col min="16131" max="16131" width="4.28515625" style="159" customWidth="1"/>
    <col min="16132" max="16132" width="4.140625" style="159" customWidth="1"/>
    <col min="16133" max="16133" width="5.140625" style="159" customWidth="1"/>
    <col min="16134" max="16134" width="5.7109375" style="159" customWidth="1"/>
    <col min="16135" max="16135" width="51.7109375" style="159" customWidth="1"/>
    <col min="16136" max="16136" width="17.85546875" style="159" customWidth="1"/>
    <col min="16137" max="16137" width="16.85546875" style="159" customWidth="1"/>
    <col min="16138" max="16138" width="17.5703125" style="159" customWidth="1"/>
    <col min="16139" max="16384" width="9.140625" style="159"/>
  </cols>
  <sheetData>
    <row r="1" spans="1:16" s="77" customFormat="1" ht="12.75" customHeight="1" x14ac:dyDescent="0.25">
      <c r="A1" s="198" t="s">
        <v>524</v>
      </c>
      <c r="B1" s="199"/>
      <c r="C1" s="199"/>
      <c r="D1" s="199"/>
      <c r="E1" s="199"/>
      <c r="F1" s="199"/>
      <c r="G1" s="199"/>
      <c r="H1" s="199"/>
      <c r="I1" s="199"/>
      <c r="J1" s="199"/>
      <c r="K1" s="199"/>
      <c r="L1" s="199"/>
      <c r="M1" s="199"/>
    </row>
    <row r="2" spans="1:16" s="77" customFormat="1" ht="12.75" customHeight="1" x14ac:dyDescent="0.25">
      <c r="A2" s="198" t="s">
        <v>0</v>
      </c>
      <c r="B2" s="199"/>
      <c r="C2" s="199"/>
      <c r="D2" s="199"/>
      <c r="E2" s="199"/>
      <c r="F2" s="199"/>
      <c r="G2" s="199"/>
      <c r="H2" s="199"/>
      <c r="I2" s="199"/>
      <c r="J2" s="199"/>
      <c r="K2" s="199"/>
      <c r="L2" s="199"/>
      <c r="M2" s="199"/>
    </row>
    <row r="3" spans="1:16" s="77" customFormat="1" ht="12.75" x14ac:dyDescent="0.2">
      <c r="B3" s="78"/>
      <c r="C3" s="78"/>
      <c r="D3" s="78"/>
      <c r="E3" s="78"/>
      <c r="F3" s="78"/>
      <c r="G3" s="78"/>
      <c r="H3" s="78"/>
      <c r="I3" s="78"/>
      <c r="J3" s="78"/>
      <c r="K3" s="79"/>
      <c r="L3" s="198" t="s">
        <v>658</v>
      </c>
      <c r="M3" s="198"/>
      <c r="P3" s="79"/>
    </row>
    <row r="4" spans="1:16" s="77" customFormat="1" ht="12.75" x14ac:dyDescent="0.2">
      <c r="B4" s="78"/>
      <c r="C4" s="78"/>
      <c r="D4" s="78"/>
      <c r="E4" s="78"/>
      <c r="F4" s="78"/>
      <c r="G4" s="78"/>
      <c r="H4" s="78"/>
      <c r="I4" s="78"/>
      <c r="J4" s="78"/>
      <c r="K4" s="79"/>
      <c r="L4" s="79"/>
      <c r="M4" s="79"/>
      <c r="P4" s="79"/>
    </row>
    <row r="5" spans="1:16" s="77" customFormat="1" ht="12.75" customHeight="1" x14ac:dyDescent="0.2">
      <c r="A5" s="200" t="s">
        <v>486</v>
      </c>
      <c r="B5" s="200"/>
      <c r="C5" s="200"/>
      <c r="D5" s="200"/>
      <c r="E5" s="200"/>
      <c r="F5" s="200"/>
      <c r="G5" s="200"/>
      <c r="H5" s="200"/>
      <c r="I5" s="200"/>
      <c r="J5" s="200"/>
      <c r="K5" s="200"/>
      <c r="L5" s="200"/>
      <c r="M5" s="200"/>
    </row>
    <row r="6" spans="1:16" s="77" customFormat="1" ht="12.75" x14ac:dyDescent="0.2">
      <c r="B6" s="78"/>
      <c r="C6" s="78"/>
      <c r="D6" s="78"/>
      <c r="E6" s="78"/>
      <c r="F6" s="78"/>
      <c r="G6" s="78"/>
      <c r="H6" s="78"/>
      <c r="I6" s="78"/>
      <c r="J6" s="78"/>
      <c r="K6" s="79"/>
      <c r="L6" s="79"/>
      <c r="M6" s="79"/>
      <c r="P6" s="79"/>
    </row>
    <row r="7" spans="1:16" s="77" customFormat="1" ht="12.75" x14ac:dyDescent="0.2">
      <c r="B7" s="78"/>
      <c r="C7" s="78"/>
      <c r="D7" s="78"/>
      <c r="E7" s="78"/>
      <c r="F7" s="78"/>
      <c r="G7" s="78"/>
      <c r="H7" s="78"/>
      <c r="I7" s="78"/>
      <c r="J7" s="78"/>
      <c r="K7" s="79"/>
      <c r="L7" s="79"/>
      <c r="M7" s="124" t="s">
        <v>67</v>
      </c>
      <c r="P7" s="79"/>
    </row>
    <row r="8" spans="1:16" s="77" customFormat="1" ht="12.75" x14ac:dyDescent="0.2">
      <c r="A8" s="201" t="s">
        <v>1</v>
      </c>
      <c r="B8" s="197" t="s">
        <v>2</v>
      </c>
      <c r="C8" s="197"/>
      <c r="D8" s="197"/>
      <c r="E8" s="197"/>
      <c r="F8" s="197"/>
      <c r="G8" s="197"/>
      <c r="H8" s="197"/>
      <c r="I8" s="197"/>
      <c r="J8" s="194" t="s">
        <v>497</v>
      </c>
      <c r="K8" s="194" t="s">
        <v>380</v>
      </c>
      <c r="L8" s="194" t="s">
        <v>466</v>
      </c>
      <c r="M8" s="194" t="s">
        <v>487</v>
      </c>
      <c r="P8" s="194" t="s">
        <v>380</v>
      </c>
    </row>
    <row r="9" spans="1:16" s="77" customFormat="1" ht="12.75" x14ac:dyDescent="0.2">
      <c r="A9" s="201"/>
      <c r="B9" s="202" t="s">
        <v>467</v>
      </c>
      <c r="C9" s="197" t="s">
        <v>468</v>
      </c>
      <c r="D9" s="197"/>
      <c r="E9" s="197"/>
      <c r="F9" s="197"/>
      <c r="G9" s="197"/>
      <c r="H9" s="197" t="s">
        <v>469</v>
      </c>
      <c r="I9" s="197"/>
      <c r="J9" s="195"/>
      <c r="K9" s="195"/>
      <c r="L9" s="195"/>
      <c r="M9" s="195"/>
      <c r="P9" s="195"/>
    </row>
    <row r="10" spans="1:16" s="77" customFormat="1" ht="115.5" x14ac:dyDescent="0.2">
      <c r="A10" s="201"/>
      <c r="B10" s="202"/>
      <c r="C10" s="80" t="s">
        <v>381</v>
      </c>
      <c r="D10" s="80" t="s">
        <v>382</v>
      </c>
      <c r="E10" s="80" t="s">
        <v>383</v>
      </c>
      <c r="F10" s="80" t="s">
        <v>384</v>
      </c>
      <c r="G10" s="174" t="s">
        <v>385</v>
      </c>
      <c r="H10" s="174" t="s">
        <v>386</v>
      </c>
      <c r="I10" s="174" t="s">
        <v>387</v>
      </c>
      <c r="J10" s="196"/>
      <c r="K10" s="196"/>
      <c r="L10" s="196"/>
      <c r="M10" s="196"/>
      <c r="P10" s="196"/>
    </row>
    <row r="11" spans="1:16" x14ac:dyDescent="0.25">
      <c r="A11" s="81"/>
      <c r="B11" s="82" t="s">
        <v>57</v>
      </c>
      <c r="C11" s="82" t="s">
        <v>55</v>
      </c>
      <c r="D11" s="82" t="s">
        <v>56</v>
      </c>
      <c r="E11" s="82" t="s">
        <v>58</v>
      </c>
      <c r="F11" s="82" t="s">
        <v>60</v>
      </c>
      <c r="G11" s="82" t="s">
        <v>61</v>
      </c>
      <c r="H11" s="82" t="s">
        <v>62</v>
      </c>
      <c r="I11" s="82" t="s">
        <v>63</v>
      </c>
      <c r="J11" s="173">
        <v>9</v>
      </c>
      <c r="K11" s="173">
        <v>10</v>
      </c>
      <c r="L11" s="173">
        <v>11</v>
      </c>
      <c r="M11" s="173">
        <v>12</v>
      </c>
      <c r="P11" s="173">
        <v>10</v>
      </c>
    </row>
    <row r="12" spans="1:16" x14ac:dyDescent="0.25">
      <c r="A12" s="81" t="s">
        <v>57</v>
      </c>
      <c r="B12" s="82" t="s">
        <v>388</v>
      </c>
      <c r="C12" s="82" t="s">
        <v>57</v>
      </c>
      <c r="D12" s="82" t="s">
        <v>389</v>
      </c>
      <c r="E12" s="82" t="s">
        <v>389</v>
      </c>
      <c r="F12" s="82" t="s">
        <v>388</v>
      </c>
      <c r="G12" s="82" t="s">
        <v>389</v>
      </c>
      <c r="H12" s="82" t="s">
        <v>390</v>
      </c>
      <c r="I12" s="82" t="s">
        <v>388</v>
      </c>
      <c r="J12" s="83" t="s">
        <v>391</v>
      </c>
      <c r="K12" s="84">
        <f>K13+K29+K32+K40+K44+K54+K19+K57+K50</f>
        <v>3407152</v>
      </c>
      <c r="L12" s="84">
        <f>L13+L29+L32+L40+L44+L54+L19+L57+L50</f>
        <v>2772371</v>
      </c>
      <c r="M12" s="84">
        <f>M13+M29+M32+M40+M44+M54+M19+M57+M50</f>
        <v>2562872</v>
      </c>
      <c r="P12" s="84">
        <f>P13+P29+P32+P40+P44+P54+P19+P57+P50</f>
        <v>1519915.17</v>
      </c>
    </row>
    <row r="13" spans="1:16" x14ac:dyDescent="0.25">
      <c r="A13" s="81" t="s">
        <v>55</v>
      </c>
      <c r="B13" s="82" t="s">
        <v>364</v>
      </c>
      <c r="C13" s="82" t="s">
        <v>57</v>
      </c>
      <c r="D13" s="82" t="s">
        <v>392</v>
      </c>
      <c r="E13" s="82" t="s">
        <v>389</v>
      </c>
      <c r="F13" s="82" t="s">
        <v>388</v>
      </c>
      <c r="G13" s="82" t="s">
        <v>389</v>
      </c>
      <c r="H13" s="82" t="s">
        <v>390</v>
      </c>
      <c r="I13" s="82" t="s">
        <v>388</v>
      </c>
      <c r="J13" s="83" t="s">
        <v>393</v>
      </c>
      <c r="K13" s="85">
        <f>K14</f>
        <v>386970</v>
      </c>
      <c r="L13" s="85">
        <f>L14</f>
        <v>334800</v>
      </c>
      <c r="M13" s="85">
        <f>M14</f>
        <v>341800</v>
      </c>
      <c r="P13" s="85">
        <f>P14</f>
        <v>216837.85</v>
      </c>
    </row>
    <row r="14" spans="1:16" x14ac:dyDescent="0.25">
      <c r="A14" s="81" t="s">
        <v>56</v>
      </c>
      <c r="B14" s="82" t="s">
        <v>364</v>
      </c>
      <c r="C14" s="82" t="s">
        <v>57</v>
      </c>
      <c r="D14" s="82" t="s">
        <v>392</v>
      </c>
      <c r="E14" s="82" t="s">
        <v>394</v>
      </c>
      <c r="F14" s="82" t="s">
        <v>388</v>
      </c>
      <c r="G14" s="82" t="s">
        <v>392</v>
      </c>
      <c r="H14" s="82" t="s">
        <v>390</v>
      </c>
      <c r="I14" s="82" t="s">
        <v>183</v>
      </c>
      <c r="J14" s="83" t="s">
        <v>395</v>
      </c>
      <c r="K14" s="85">
        <f>SUM(K15:K18)</f>
        <v>386970</v>
      </c>
      <c r="L14" s="85">
        <f>SUM(L15:L17)</f>
        <v>334800</v>
      </c>
      <c r="M14" s="85">
        <f>SUM(M15:M17)</f>
        <v>341800</v>
      </c>
      <c r="P14" s="85">
        <f>SUM(P15:P18)</f>
        <v>216837.85</v>
      </c>
    </row>
    <row r="15" spans="1:16" ht="63.75" x14ac:dyDescent="0.25">
      <c r="A15" s="81" t="s">
        <v>58</v>
      </c>
      <c r="B15" s="82" t="s">
        <v>364</v>
      </c>
      <c r="C15" s="82" t="s">
        <v>57</v>
      </c>
      <c r="D15" s="82" t="s">
        <v>392</v>
      </c>
      <c r="E15" s="82" t="s">
        <v>394</v>
      </c>
      <c r="F15" s="82" t="s">
        <v>396</v>
      </c>
      <c r="G15" s="82" t="s">
        <v>392</v>
      </c>
      <c r="H15" s="82" t="s">
        <v>390</v>
      </c>
      <c r="I15" s="82" t="s">
        <v>183</v>
      </c>
      <c r="J15" s="83" t="s">
        <v>397</v>
      </c>
      <c r="K15" s="85">
        <v>313780</v>
      </c>
      <c r="L15" s="85">
        <v>332590</v>
      </c>
      <c r="M15" s="85">
        <v>339500</v>
      </c>
      <c r="P15" s="85">
        <f>145540.87+0.36+14.73</f>
        <v>145555.96</v>
      </c>
    </row>
    <row r="16" spans="1:16" ht="114.75" x14ac:dyDescent="0.25">
      <c r="A16" s="81" t="s">
        <v>60</v>
      </c>
      <c r="B16" s="82" t="s">
        <v>364</v>
      </c>
      <c r="C16" s="82" t="s">
        <v>57</v>
      </c>
      <c r="D16" s="82" t="s">
        <v>392</v>
      </c>
      <c r="E16" s="82" t="s">
        <v>394</v>
      </c>
      <c r="F16" s="82" t="s">
        <v>436</v>
      </c>
      <c r="G16" s="82" t="s">
        <v>392</v>
      </c>
      <c r="H16" s="82" t="s">
        <v>390</v>
      </c>
      <c r="I16" s="82" t="s">
        <v>183</v>
      </c>
      <c r="J16" s="178" t="s">
        <v>609</v>
      </c>
      <c r="K16" s="85">
        <f>O16</f>
        <v>28780</v>
      </c>
      <c r="L16" s="85">
        <v>0</v>
      </c>
      <c r="M16" s="85">
        <v>0</v>
      </c>
      <c r="O16" s="159">
        <v>28780</v>
      </c>
      <c r="P16" s="179">
        <f>26000.56+2777.77</f>
        <v>28778.33</v>
      </c>
    </row>
    <row r="17" spans="1:16" ht="38.25" x14ac:dyDescent="0.25">
      <c r="A17" s="81" t="s">
        <v>61</v>
      </c>
      <c r="B17" s="82" t="s">
        <v>364</v>
      </c>
      <c r="C17" s="82" t="s">
        <v>57</v>
      </c>
      <c r="D17" s="82" t="s">
        <v>392</v>
      </c>
      <c r="E17" s="82" t="s">
        <v>394</v>
      </c>
      <c r="F17" s="82" t="s">
        <v>398</v>
      </c>
      <c r="G17" s="82" t="s">
        <v>392</v>
      </c>
      <c r="H17" s="82" t="s">
        <v>390</v>
      </c>
      <c r="I17" s="82" t="s">
        <v>183</v>
      </c>
      <c r="J17" s="83" t="s">
        <v>399</v>
      </c>
      <c r="K17" s="85">
        <v>2130</v>
      </c>
      <c r="L17" s="85">
        <v>2210</v>
      </c>
      <c r="M17" s="85">
        <v>2300</v>
      </c>
      <c r="P17" s="85">
        <f>42.5+183.46</f>
        <v>225.96</v>
      </c>
    </row>
    <row r="18" spans="1:16" ht="114.75" x14ac:dyDescent="0.25">
      <c r="A18" s="81" t="s">
        <v>62</v>
      </c>
      <c r="B18" s="82" t="s">
        <v>364</v>
      </c>
      <c r="C18" s="82" t="s">
        <v>57</v>
      </c>
      <c r="D18" s="82" t="s">
        <v>392</v>
      </c>
      <c r="E18" s="82" t="s">
        <v>394</v>
      </c>
      <c r="F18" s="82" t="s">
        <v>601</v>
      </c>
      <c r="G18" s="82" t="s">
        <v>392</v>
      </c>
      <c r="H18" s="82" t="s">
        <v>390</v>
      </c>
      <c r="I18" s="82" t="s">
        <v>183</v>
      </c>
      <c r="J18" s="83" t="s">
        <v>610</v>
      </c>
      <c r="K18" s="85">
        <f>O18</f>
        <v>42280</v>
      </c>
      <c r="L18" s="85">
        <v>0</v>
      </c>
      <c r="M18" s="85">
        <v>0</v>
      </c>
      <c r="O18" s="159">
        <v>42280</v>
      </c>
      <c r="P18" s="179">
        <f>39133.56+3144.04</f>
        <v>42277.599999999999</v>
      </c>
    </row>
    <row r="19" spans="1:16" ht="38.25" x14ac:dyDescent="0.25">
      <c r="A19" s="81" t="s">
        <v>63</v>
      </c>
      <c r="B19" s="82" t="s">
        <v>388</v>
      </c>
      <c r="C19" s="82" t="s">
        <v>57</v>
      </c>
      <c r="D19" s="82" t="s">
        <v>400</v>
      </c>
      <c r="E19" s="82" t="s">
        <v>389</v>
      </c>
      <c r="F19" s="82" t="s">
        <v>388</v>
      </c>
      <c r="G19" s="82" t="s">
        <v>389</v>
      </c>
      <c r="H19" s="82" t="s">
        <v>390</v>
      </c>
      <c r="I19" s="82" t="s">
        <v>388</v>
      </c>
      <c r="J19" s="83" t="s">
        <v>401</v>
      </c>
      <c r="K19" s="85">
        <f>K20</f>
        <v>553100</v>
      </c>
      <c r="L19" s="85">
        <f t="shared" ref="L19:M19" si="0">L20</f>
        <v>566200</v>
      </c>
      <c r="M19" s="85">
        <f t="shared" si="0"/>
        <v>581600</v>
      </c>
      <c r="P19" s="85">
        <f>P20</f>
        <v>247123.3</v>
      </c>
    </row>
    <row r="20" spans="1:16" ht="25.5" x14ac:dyDescent="0.25">
      <c r="A20" s="81" t="s">
        <v>64</v>
      </c>
      <c r="B20" s="82" t="s">
        <v>388</v>
      </c>
      <c r="C20" s="82" t="s">
        <v>57</v>
      </c>
      <c r="D20" s="82" t="s">
        <v>400</v>
      </c>
      <c r="E20" s="82" t="s">
        <v>394</v>
      </c>
      <c r="F20" s="82" t="s">
        <v>388</v>
      </c>
      <c r="G20" s="82" t="s">
        <v>392</v>
      </c>
      <c r="H20" s="82" t="s">
        <v>390</v>
      </c>
      <c r="I20" s="82" t="s">
        <v>183</v>
      </c>
      <c r="J20" s="83" t="s">
        <v>402</v>
      </c>
      <c r="K20" s="85">
        <f>K21+K23+K25+K27</f>
        <v>553100</v>
      </c>
      <c r="L20" s="85">
        <f t="shared" ref="L20:M20" si="1">L21+L23+L25+L27</f>
        <v>566200</v>
      </c>
      <c r="M20" s="85">
        <f t="shared" si="1"/>
        <v>581600</v>
      </c>
      <c r="P20" s="85">
        <f>P21+P23+P25+P27</f>
        <v>247123.3</v>
      </c>
    </row>
    <row r="21" spans="1:16" ht="63.75" x14ac:dyDescent="0.25">
      <c r="A21" s="81" t="s">
        <v>65</v>
      </c>
      <c r="B21" s="82" t="s">
        <v>128</v>
      </c>
      <c r="C21" s="82" t="s">
        <v>57</v>
      </c>
      <c r="D21" s="82" t="s">
        <v>400</v>
      </c>
      <c r="E21" s="82" t="s">
        <v>394</v>
      </c>
      <c r="F21" s="82" t="s">
        <v>366</v>
      </c>
      <c r="G21" s="82" t="s">
        <v>392</v>
      </c>
      <c r="H21" s="82" t="s">
        <v>390</v>
      </c>
      <c r="I21" s="82" t="s">
        <v>183</v>
      </c>
      <c r="J21" s="83" t="s">
        <v>403</v>
      </c>
      <c r="K21" s="85">
        <f>K22</f>
        <v>250100</v>
      </c>
      <c r="L21" s="85">
        <f t="shared" ref="L21:M21" si="2">L22</f>
        <v>253300</v>
      </c>
      <c r="M21" s="85">
        <f t="shared" si="2"/>
        <v>256100</v>
      </c>
      <c r="P21" s="85">
        <f>P22</f>
        <v>121006.39999999999</v>
      </c>
    </row>
    <row r="22" spans="1:16" ht="102" x14ac:dyDescent="0.25">
      <c r="A22" s="81" t="s">
        <v>213</v>
      </c>
      <c r="B22" s="82" t="s">
        <v>128</v>
      </c>
      <c r="C22" s="82" t="s">
        <v>57</v>
      </c>
      <c r="D22" s="82" t="s">
        <v>400</v>
      </c>
      <c r="E22" s="82" t="s">
        <v>394</v>
      </c>
      <c r="F22" s="82" t="s">
        <v>404</v>
      </c>
      <c r="G22" s="82" t="s">
        <v>392</v>
      </c>
      <c r="H22" s="82" t="s">
        <v>390</v>
      </c>
      <c r="I22" s="82" t="s">
        <v>183</v>
      </c>
      <c r="J22" s="83" t="s">
        <v>405</v>
      </c>
      <c r="K22" s="85">
        <v>250100</v>
      </c>
      <c r="L22" s="85">
        <v>253300</v>
      </c>
      <c r="M22" s="85">
        <v>256100</v>
      </c>
      <c r="P22" s="85">
        <v>121006.39999999999</v>
      </c>
    </row>
    <row r="23" spans="1:16" ht="76.5" x14ac:dyDescent="0.25">
      <c r="A23" s="81" t="s">
        <v>214</v>
      </c>
      <c r="B23" s="82" t="s">
        <v>128</v>
      </c>
      <c r="C23" s="82" t="s">
        <v>57</v>
      </c>
      <c r="D23" s="82" t="s">
        <v>400</v>
      </c>
      <c r="E23" s="82" t="s">
        <v>394</v>
      </c>
      <c r="F23" s="82" t="s">
        <v>141</v>
      </c>
      <c r="G23" s="82" t="s">
        <v>392</v>
      </c>
      <c r="H23" s="82" t="s">
        <v>390</v>
      </c>
      <c r="I23" s="82" t="s">
        <v>183</v>
      </c>
      <c r="J23" s="83" t="s">
        <v>406</v>
      </c>
      <c r="K23" s="85">
        <f>K24</f>
        <v>1400</v>
      </c>
      <c r="L23" s="85">
        <f t="shared" ref="L23:M23" si="3">L24</f>
        <v>1400</v>
      </c>
      <c r="M23" s="85">
        <f t="shared" si="3"/>
        <v>1500</v>
      </c>
      <c r="P23" s="85">
        <f>P24</f>
        <v>748.07</v>
      </c>
    </row>
    <row r="24" spans="1:16" ht="114.75" x14ac:dyDescent="0.25">
      <c r="A24" s="81" t="s">
        <v>215</v>
      </c>
      <c r="B24" s="82" t="s">
        <v>128</v>
      </c>
      <c r="C24" s="82" t="s">
        <v>57</v>
      </c>
      <c r="D24" s="82" t="s">
        <v>400</v>
      </c>
      <c r="E24" s="82" t="s">
        <v>394</v>
      </c>
      <c r="F24" s="82" t="s">
        <v>407</v>
      </c>
      <c r="G24" s="82" t="s">
        <v>392</v>
      </c>
      <c r="H24" s="82" t="s">
        <v>390</v>
      </c>
      <c r="I24" s="82" t="s">
        <v>183</v>
      </c>
      <c r="J24" s="83" t="s">
        <v>408</v>
      </c>
      <c r="K24" s="85">
        <v>1400</v>
      </c>
      <c r="L24" s="85">
        <v>1400</v>
      </c>
      <c r="M24" s="85">
        <v>1500</v>
      </c>
      <c r="P24" s="85">
        <v>748.07</v>
      </c>
    </row>
    <row r="25" spans="1:16" ht="63.75" x14ac:dyDescent="0.25">
      <c r="A25" s="81" t="s">
        <v>216</v>
      </c>
      <c r="B25" s="82" t="s">
        <v>128</v>
      </c>
      <c r="C25" s="82" t="s">
        <v>57</v>
      </c>
      <c r="D25" s="82" t="s">
        <v>400</v>
      </c>
      <c r="E25" s="82" t="s">
        <v>394</v>
      </c>
      <c r="F25" s="82" t="s">
        <v>409</v>
      </c>
      <c r="G25" s="82" t="s">
        <v>392</v>
      </c>
      <c r="H25" s="82" t="s">
        <v>390</v>
      </c>
      <c r="I25" s="82" t="s">
        <v>183</v>
      </c>
      <c r="J25" s="83" t="s">
        <v>410</v>
      </c>
      <c r="K25" s="85">
        <f>K26</f>
        <v>333000</v>
      </c>
      <c r="L25" s="85">
        <f t="shared" ref="L25:M25" si="4">L26</f>
        <v>342900</v>
      </c>
      <c r="M25" s="85">
        <f t="shared" si="4"/>
        <v>356900</v>
      </c>
      <c r="P25" s="85">
        <f>P26</f>
        <v>140392.85</v>
      </c>
    </row>
    <row r="26" spans="1:16" ht="102" x14ac:dyDescent="0.25">
      <c r="A26" s="81" t="s">
        <v>217</v>
      </c>
      <c r="B26" s="82" t="s">
        <v>128</v>
      </c>
      <c r="C26" s="82" t="s">
        <v>57</v>
      </c>
      <c r="D26" s="82" t="s">
        <v>400</v>
      </c>
      <c r="E26" s="82" t="s">
        <v>394</v>
      </c>
      <c r="F26" s="82" t="s">
        <v>411</v>
      </c>
      <c r="G26" s="82" t="s">
        <v>392</v>
      </c>
      <c r="H26" s="82" t="s">
        <v>390</v>
      </c>
      <c r="I26" s="82" t="s">
        <v>183</v>
      </c>
      <c r="J26" s="83" t="s">
        <v>412</v>
      </c>
      <c r="K26" s="85">
        <v>333000</v>
      </c>
      <c r="L26" s="85">
        <v>342900</v>
      </c>
      <c r="M26" s="85">
        <v>356900</v>
      </c>
      <c r="P26" s="85">
        <v>140392.85</v>
      </c>
    </row>
    <row r="27" spans="1:16" ht="63.75" x14ac:dyDescent="0.25">
      <c r="A27" s="81" t="s">
        <v>218</v>
      </c>
      <c r="B27" s="82" t="s">
        <v>128</v>
      </c>
      <c r="C27" s="82" t="s">
        <v>57</v>
      </c>
      <c r="D27" s="82" t="s">
        <v>400</v>
      </c>
      <c r="E27" s="82" t="s">
        <v>394</v>
      </c>
      <c r="F27" s="82" t="s">
        <v>413</v>
      </c>
      <c r="G27" s="82" t="s">
        <v>392</v>
      </c>
      <c r="H27" s="82" t="s">
        <v>390</v>
      </c>
      <c r="I27" s="82" t="s">
        <v>183</v>
      </c>
      <c r="J27" s="83" t="s">
        <v>414</v>
      </c>
      <c r="K27" s="85">
        <f>K28</f>
        <v>-31400</v>
      </c>
      <c r="L27" s="85">
        <f t="shared" ref="L27:M27" si="5">L28</f>
        <v>-31400</v>
      </c>
      <c r="M27" s="85">
        <f t="shared" si="5"/>
        <v>-32900</v>
      </c>
      <c r="P27" s="85">
        <f>P28</f>
        <v>-15024.02</v>
      </c>
    </row>
    <row r="28" spans="1:16" ht="102" x14ac:dyDescent="0.25">
      <c r="A28" s="81" t="s">
        <v>219</v>
      </c>
      <c r="B28" s="82" t="s">
        <v>128</v>
      </c>
      <c r="C28" s="82" t="s">
        <v>57</v>
      </c>
      <c r="D28" s="82" t="s">
        <v>400</v>
      </c>
      <c r="E28" s="82" t="s">
        <v>394</v>
      </c>
      <c r="F28" s="82" t="s">
        <v>415</v>
      </c>
      <c r="G28" s="82" t="s">
        <v>392</v>
      </c>
      <c r="H28" s="82" t="s">
        <v>390</v>
      </c>
      <c r="I28" s="82" t="s">
        <v>183</v>
      </c>
      <c r="J28" s="83" t="s">
        <v>416</v>
      </c>
      <c r="K28" s="85">
        <v>-31400</v>
      </c>
      <c r="L28" s="85">
        <v>-31400</v>
      </c>
      <c r="M28" s="85">
        <v>-32900</v>
      </c>
      <c r="P28" s="85">
        <v>-15024.02</v>
      </c>
    </row>
    <row r="29" spans="1:16" x14ac:dyDescent="0.25">
      <c r="A29" s="81" t="s">
        <v>220</v>
      </c>
      <c r="B29" s="82" t="s">
        <v>364</v>
      </c>
      <c r="C29" s="82" t="s">
        <v>57</v>
      </c>
      <c r="D29" s="82" t="s">
        <v>417</v>
      </c>
      <c r="E29" s="82" t="s">
        <v>389</v>
      </c>
      <c r="F29" s="82" t="s">
        <v>388</v>
      </c>
      <c r="G29" s="82" t="s">
        <v>389</v>
      </c>
      <c r="H29" s="82" t="s">
        <v>390</v>
      </c>
      <c r="I29" s="82" t="s">
        <v>388</v>
      </c>
      <c r="J29" s="83" t="s">
        <v>418</v>
      </c>
      <c r="K29" s="85">
        <f>K30</f>
        <v>167246</v>
      </c>
      <c r="L29" s="85">
        <f>L30</f>
        <v>1950</v>
      </c>
      <c r="M29" s="85">
        <f>M30</f>
        <v>1950</v>
      </c>
      <c r="P29" s="85">
        <f>P30</f>
        <v>167246</v>
      </c>
    </row>
    <row r="30" spans="1:16" x14ac:dyDescent="0.25">
      <c r="A30" s="81" t="s">
        <v>221</v>
      </c>
      <c r="B30" s="82" t="s">
        <v>364</v>
      </c>
      <c r="C30" s="82" t="s">
        <v>57</v>
      </c>
      <c r="D30" s="82" t="s">
        <v>417</v>
      </c>
      <c r="E30" s="82" t="s">
        <v>400</v>
      </c>
      <c r="F30" s="82" t="s">
        <v>388</v>
      </c>
      <c r="G30" s="82" t="s">
        <v>392</v>
      </c>
      <c r="H30" s="82" t="s">
        <v>390</v>
      </c>
      <c r="I30" s="82" t="s">
        <v>183</v>
      </c>
      <c r="J30" s="83" t="s">
        <v>419</v>
      </c>
      <c r="K30" s="85">
        <f>SUM(K31:K31)</f>
        <v>167246</v>
      </c>
      <c r="L30" s="85">
        <f>SUM(L31:L31)</f>
        <v>1950</v>
      </c>
      <c r="M30" s="85">
        <f>SUM(M31:M31)</f>
        <v>1950</v>
      </c>
      <c r="P30" s="85">
        <f>SUM(P31:P31)</f>
        <v>167246</v>
      </c>
    </row>
    <row r="31" spans="1:16" x14ac:dyDescent="0.25">
      <c r="A31" s="81" t="s">
        <v>222</v>
      </c>
      <c r="B31" s="163" t="s">
        <v>364</v>
      </c>
      <c r="C31" s="163" t="s">
        <v>57</v>
      </c>
      <c r="D31" s="163" t="s">
        <v>417</v>
      </c>
      <c r="E31" s="163" t="s">
        <v>400</v>
      </c>
      <c r="F31" s="163" t="s">
        <v>396</v>
      </c>
      <c r="G31" s="163" t="s">
        <v>392</v>
      </c>
      <c r="H31" s="163" t="s">
        <v>390</v>
      </c>
      <c r="I31" s="163" t="s">
        <v>183</v>
      </c>
      <c r="J31" s="164" t="s">
        <v>419</v>
      </c>
      <c r="K31" s="85">
        <f>1950+165296</f>
        <v>167246</v>
      </c>
      <c r="L31" s="85">
        <v>1950</v>
      </c>
      <c r="M31" s="85">
        <v>1950</v>
      </c>
      <c r="P31" s="85">
        <f>163246+4000</f>
        <v>167246</v>
      </c>
    </row>
    <row r="32" spans="1:16" x14ac:dyDescent="0.25">
      <c r="A32" s="81" t="s">
        <v>223</v>
      </c>
      <c r="B32" s="82" t="s">
        <v>364</v>
      </c>
      <c r="C32" s="82" t="s">
        <v>57</v>
      </c>
      <c r="D32" s="82" t="s">
        <v>420</v>
      </c>
      <c r="E32" s="82" t="s">
        <v>389</v>
      </c>
      <c r="F32" s="82" t="s">
        <v>388</v>
      </c>
      <c r="G32" s="82" t="s">
        <v>389</v>
      </c>
      <c r="H32" s="82" t="s">
        <v>390</v>
      </c>
      <c r="I32" s="82" t="s">
        <v>388</v>
      </c>
      <c r="J32" s="83" t="s">
        <v>421</v>
      </c>
      <c r="K32" s="85">
        <f>K33+K35</f>
        <v>1495170</v>
      </c>
      <c r="L32" s="85">
        <f>L33+L35</f>
        <v>1535590</v>
      </c>
      <c r="M32" s="85">
        <f>M33+M35</f>
        <v>1576430</v>
      </c>
      <c r="P32" s="85">
        <f>P33+P35</f>
        <v>455896.2</v>
      </c>
    </row>
    <row r="33" spans="1:16" x14ac:dyDescent="0.25">
      <c r="A33" s="81" t="s">
        <v>224</v>
      </c>
      <c r="B33" s="86" t="s">
        <v>364</v>
      </c>
      <c r="C33" s="86" t="s">
        <v>57</v>
      </c>
      <c r="D33" s="86" t="s">
        <v>420</v>
      </c>
      <c r="E33" s="86" t="s">
        <v>392</v>
      </c>
      <c r="F33" s="86" t="s">
        <v>388</v>
      </c>
      <c r="G33" s="86" t="s">
        <v>389</v>
      </c>
      <c r="H33" s="86" t="s">
        <v>390</v>
      </c>
      <c r="I33" s="86" t="s">
        <v>183</v>
      </c>
      <c r="J33" s="87" t="s">
        <v>422</v>
      </c>
      <c r="K33" s="85">
        <f>K34</f>
        <v>440190</v>
      </c>
      <c r="L33" s="85">
        <f>L34</f>
        <v>459320</v>
      </c>
      <c r="M33" s="85">
        <f>M34</f>
        <v>478870</v>
      </c>
      <c r="P33" s="85">
        <f>P34</f>
        <v>34400.300000000003</v>
      </c>
    </row>
    <row r="34" spans="1:16" ht="38.25" x14ac:dyDescent="0.25">
      <c r="A34" s="81" t="s">
        <v>225</v>
      </c>
      <c r="B34" s="86" t="s">
        <v>364</v>
      </c>
      <c r="C34" s="86" t="s">
        <v>57</v>
      </c>
      <c r="D34" s="86" t="s">
        <v>420</v>
      </c>
      <c r="E34" s="86" t="s">
        <v>392</v>
      </c>
      <c r="F34" s="86" t="s">
        <v>398</v>
      </c>
      <c r="G34" s="86" t="s">
        <v>65</v>
      </c>
      <c r="H34" s="86" t="s">
        <v>390</v>
      </c>
      <c r="I34" s="86" t="s">
        <v>183</v>
      </c>
      <c r="J34" s="87" t="s">
        <v>423</v>
      </c>
      <c r="K34" s="85">
        <v>440190</v>
      </c>
      <c r="L34" s="85">
        <v>459320</v>
      </c>
      <c r="M34" s="85">
        <v>478870</v>
      </c>
      <c r="P34" s="85">
        <f>31297.89+3102.41</f>
        <v>34400.300000000003</v>
      </c>
    </row>
    <row r="35" spans="1:16" x14ac:dyDescent="0.25">
      <c r="A35" s="81" t="s">
        <v>226</v>
      </c>
      <c r="B35" s="86" t="s">
        <v>364</v>
      </c>
      <c r="C35" s="86" t="s">
        <v>57</v>
      </c>
      <c r="D35" s="86" t="s">
        <v>420</v>
      </c>
      <c r="E35" s="86" t="s">
        <v>420</v>
      </c>
      <c r="F35" s="86" t="s">
        <v>388</v>
      </c>
      <c r="G35" s="86" t="s">
        <v>389</v>
      </c>
      <c r="H35" s="86" t="s">
        <v>390</v>
      </c>
      <c r="I35" s="86" t="s">
        <v>183</v>
      </c>
      <c r="J35" s="87" t="s">
        <v>424</v>
      </c>
      <c r="K35" s="85">
        <f>K36+K38</f>
        <v>1054980</v>
      </c>
      <c r="L35" s="85">
        <f>L36+L38</f>
        <v>1076270</v>
      </c>
      <c r="M35" s="85">
        <f>M36+M38</f>
        <v>1097560</v>
      </c>
      <c r="P35" s="85">
        <f>P36+P38</f>
        <v>421495.9</v>
      </c>
    </row>
    <row r="36" spans="1:16" x14ac:dyDescent="0.25">
      <c r="A36" s="81" t="s">
        <v>227</v>
      </c>
      <c r="B36" s="86" t="s">
        <v>364</v>
      </c>
      <c r="C36" s="86" t="s">
        <v>57</v>
      </c>
      <c r="D36" s="86" t="s">
        <v>420</v>
      </c>
      <c r="E36" s="86" t="s">
        <v>420</v>
      </c>
      <c r="F36" s="86" t="s">
        <v>398</v>
      </c>
      <c r="G36" s="86" t="s">
        <v>389</v>
      </c>
      <c r="H36" s="86" t="s">
        <v>390</v>
      </c>
      <c r="I36" s="86" t="s">
        <v>183</v>
      </c>
      <c r="J36" s="87" t="s">
        <v>425</v>
      </c>
      <c r="K36" s="85">
        <f>K37</f>
        <v>381760</v>
      </c>
      <c r="L36" s="85">
        <f>L37</f>
        <v>381760</v>
      </c>
      <c r="M36" s="85">
        <f>M37</f>
        <v>381760</v>
      </c>
      <c r="P36" s="85">
        <f>P37</f>
        <v>226188.86</v>
      </c>
    </row>
    <row r="37" spans="1:16" ht="25.5" x14ac:dyDescent="0.25">
      <c r="A37" s="81" t="s">
        <v>228</v>
      </c>
      <c r="B37" s="86" t="s">
        <v>364</v>
      </c>
      <c r="C37" s="86" t="s">
        <v>57</v>
      </c>
      <c r="D37" s="86" t="s">
        <v>420</v>
      </c>
      <c r="E37" s="86" t="s">
        <v>420</v>
      </c>
      <c r="F37" s="86" t="s">
        <v>426</v>
      </c>
      <c r="G37" s="86" t="s">
        <v>65</v>
      </c>
      <c r="H37" s="86" t="s">
        <v>390</v>
      </c>
      <c r="I37" s="86" t="s">
        <v>183</v>
      </c>
      <c r="J37" s="87" t="s">
        <v>427</v>
      </c>
      <c r="K37" s="85">
        <v>381760</v>
      </c>
      <c r="L37" s="85">
        <v>381760</v>
      </c>
      <c r="M37" s="85">
        <v>381760</v>
      </c>
      <c r="P37" s="85">
        <v>226188.86</v>
      </c>
    </row>
    <row r="38" spans="1:16" x14ac:dyDescent="0.25">
      <c r="A38" s="81" t="s">
        <v>229</v>
      </c>
      <c r="B38" s="86" t="s">
        <v>364</v>
      </c>
      <c r="C38" s="86" t="s">
        <v>57</v>
      </c>
      <c r="D38" s="86" t="s">
        <v>420</v>
      </c>
      <c r="E38" s="86" t="s">
        <v>420</v>
      </c>
      <c r="F38" s="86" t="s">
        <v>428</v>
      </c>
      <c r="G38" s="86" t="s">
        <v>389</v>
      </c>
      <c r="H38" s="86" t="s">
        <v>390</v>
      </c>
      <c r="I38" s="86" t="s">
        <v>183</v>
      </c>
      <c r="J38" s="87" t="s">
        <v>429</v>
      </c>
      <c r="K38" s="85">
        <f>K39</f>
        <v>673220</v>
      </c>
      <c r="L38" s="85">
        <f>L39</f>
        <v>694510</v>
      </c>
      <c r="M38" s="85">
        <f>M39</f>
        <v>715800</v>
      </c>
      <c r="P38" s="85">
        <f>P39</f>
        <v>195307.04</v>
      </c>
    </row>
    <row r="39" spans="1:16" ht="25.5" x14ac:dyDescent="0.25">
      <c r="A39" s="81" t="s">
        <v>231</v>
      </c>
      <c r="B39" s="86" t="s">
        <v>364</v>
      </c>
      <c r="C39" s="86" t="s">
        <v>57</v>
      </c>
      <c r="D39" s="86" t="s">
        <v>420</v>
      </c>
      <c r="E39" s="86" t="s">
        <v>420</v>
      </c>
      <c r="F39" s="86" t="s">
        <v>430</v>
      </c>
      <c r="G39" s="86" t="s">
        <v>65</v>
      </c>
      <c r="H39" s="86" t="s">
        <v>390</v>
      </c>
      <c r="I39" s="86" t="s">
        <v>183</v>
      </c>
      <c r="J39" s="87" t="s">
        <v>431</v>
      </c>
      <c r="K39" s="85">
        <v>673220</v>
      </c>
      <c r="L39" s="85">
        <v>694510</v>
      </c>
      <c r="M39" s="85">
        <v>715800</v>
      </c>
      <c r="P39" s="85">
        <f>185565.83+9741.21</f>
        <v>195307.04</v>
      </c>
    </row>
    <row r="40" spans="1:16" x14ac:dyDescent="0.25">
      <c r="A40" s="81" t="s">
        <v>232</v>
      </c>
      <c r="B40" s="82" t="s">
        <v>5</v>
      </c>
      <c r="C40" s="82" t="s">
        <v>57</v>
      </c>
      <c r="D40" s="82" t="s">
        <v>432</v>
      </c>
      <c r="E40" s="82" t="s">
        <v>389</v>
      </c>
      <c r="F40" s="82" t="s">
        <v>388</v>
      </c>
      <c r="G40" s="82" t="s">
        <v>389</v>
      </c>
      <c r="H40" s="82" t="s">
        <v>390</v>
      </c>
      <c r="I40" s="82" t="s">
        <v>388</v>
      </c>
      <c r="J40" s="83" t="s">
        <v>433</v>
      </c>
      <c r="K40" s="85">
        <f t="shared" ref="K40:M42" si="6">K41</f>
        <v>3400</v>
      </c>
      <c r="L40" s="85">
        <f t="shared" si="6"/>
        <v>3400</v>
      </c>
      <c r="M40" s="85">
        <f t="shared" si="6"/>
        <v>3400</v>
      </c>
      <c r="P40" s="85">
        <f t="shared" ref="P40:P41" si="7">P41</f>
        <v>1600</v>
      </c>
    </row>
    <row r="41" spans="1:16" ht="39" x14ac:dyDescent="0.25">
      <c r="A41" s="81" t="s">
        <v>233</v>
      </c>
      <c r="B41" s="88" t="s">
        <v>5</v>
      </c>
      <c r="C41" s="88" t="s">
        <v>57</v>
      </c>
      <c r="D41" s="88" t="s">
        <v>432</v>
      </c>
      <c r="E41" s="88" t="s">
        <v>434</v>
      </c>
      <c r="F41" s="88" t="s">
        <v>388</v>
      </c>
      <c r="G41" s="88" t="s">
        <v>392</v>
      </c>
      <c r="H41" s="88" t="s">
        <v>390</v>
      </c>
      <c r="I41" s="88" t="s">
        <v>183</v>
      </c>
      <c r="J41" s="89" t="s">
        <v>435</v>
      </c>
      <c r="K41" s="85">
        <f t="shared" si="6"/>
        <v>3400</v>
      </c>
      <c r="L41" s="85">
        <f t="shared" si="6"/>
        <v>3400</v>
      </c>
      <c r="M41" s="85">
        <f t="shared" si="6"/>
        <v>3400</v>
      </c>
      <c r="P41" s="85">
        <f t="shared" si="7"/>
        <v>1600</v>
      </c>
    </row>
    <row r="42" spans="1:16" ht="64.5" x14ac:dyDescent="0.25">
      <c r="A42" s="81" t="s">
        <v>234</v>
      </c>
      <c r="B42" s="88" t="s">
        <v>5</v>
      </c>
      <c r="C42" s="88" t="s">
        <v>57</v>
      </c>
      <c r="D42" s="88" t="s">
        <v>432</v>
      </c>
      <c r="E42" s="88" t="s">
        <v>434</v>
      </c>
      <c r="F42" s="88" t="s">
        <v>436</v>
      </c>
      <c r="G42" s="88" t="s">
        <v>392</v>
      </c>
      <c r="H42" s="88" t="s">
        <v>390</v>
      </c>
      <c r="I42" s="88" t="s">
        <v>183</v>
      </c>
      <c r="J42" s="89" t="s">
        <v>437</v>
      </c>
      <c r="K42" s="85">
        <f>K43</f>
        <v>3400</v>
      </c>
      <c r="L42" s="85">
        <f t="shared" si="6"/>
        <v>3400</v>
      </c>
      <c r="M42" s="85">
        <f t="shared" si="6"/>
        <v>3400</v>
      </c>
      <c r="P42" s="85">
        <f>P43</f>
        <v>1600</v>
      </c>
    </row>
    <row r="43" spans="1:16" ht="90" x14ac:dyDescent="0.25">
      <c r="A43" s="81" t="s">
        <v>235</v>
      </c>
      <c r="B43" s="88" t="s">
        <v>5</v>
      </c>
      <c r="C43" s="88" t="s">
        <v>57</v>
      </c>
      <c r="D43" s="88" t="s">
        <v>432</v>
      </c>
      <c r="E43" s="88" t="s">
        <v>434</v>
      </c>
      <c r="F43" s="88" t="s">
        <v>436</v>
      </c>
      <c r="G43" s="88" t="s">
        <v>392</v>
      </c>
      <c r="H43" s="88" t="s">
        <v>438</v>
      </c>
      <c r="I43" s="88" t="s">
        <v>183</v>
      </c>
      <c r="J43" s="90" t="s">
        <v>470</v>
      </c>
      <c r="K43" s="85">
        <v>3400</v>
      </c>
      <c r="L43" s="85">
        <v>3400</v>
      </c>
      <c r="M43" s="85">
        <v>3400</v>
      </c>
      <c r="P43" s="85">
        <v>1600</v>
      </c>
    </row>
    <row r="44" spans="1:16" ht="38.25" x14ac:dyDescent="0.25">
      <c r="A44" s="81" t="s">
        <v>236</v>
      </c>
      <c r="B44" s="82" t="s">
        <v>5</v>
      </c>
      <c r="C44" s="82" t="s">
        <v>57</v>
      </c>
      <c r="D44" s="82" t="s">
        <v>213</v>
      </c>
      <c r="E44" s="82" t="s">
        <v>389</v>
      </c>
      <c r="F44" s="82" t="s">
        <v>388</v>
      </c>
      <c r="G44" s="82" t="s">
        <v>389</v>
      </c>
      <c r="H44" s="82" t="s">
        <v>390</v>
      </c>
      <c r="I44" s="82" t="s">
        <v>388</v>
      </c>
      <c r="J44" s="83" t="s">
        <v>439</v>
      </c>
      <c r="K44" s="85">
        <f>K45</f>
        <v>563170</v>
      </c>
      <c r="L44" s="85">
        <f>L45</f>
        <v>288931</v>
      </c>
      <c r="M44" s="85">
        <f>M45</f>
        <v>14692</v>
      </c>
      <c r="P44" s="85">
        <f>P45</f>
        <v>360832.4</v>
      </c>
    </row>
    <row r="45" spans="1:16" ht="76.5" x14ac:dyDescent="0.25">
      <c r="A45" s="81" t="s">
        <v>237</v>
      </c>
      <c r="B45" s="82" t="s">
        <v>5</v>
      </c>
      <c r="C45" s="82" t="s">
        <v>57</v>
      </c>
      <c r="D45" s="82" t="s">
        <v>213</v>
      </c>
      <c r="E45" s="82" t="s">
        <v>417</v>
      </c>
      <c r="F45" s="82" t="s">
        <v>388</v>
      </c>
      <c r="G45" s="82" t="s">
        <v>389</v>
      </c>
      <c r="H45" s="82" t="s">
        <v>390</v>
      </c>
      <c r="I45" s="82" t="s">
        <v>130</v>
      </c>
      <c r="J45" s="83" t="s">
        <v>440</v>
      </c>
      <c r="K45" s="85">
        <f>K46+K48</f>
        <v>563170</v>
      </c>
      <c r="L45" s="85">
        <f>L46+L48</f>
        <v>288931</v>
      </c>
      <c r="M45" s="85">
        <f>M46+M48</f>
        <v>14692</v>
      </c>
      <c r="P45" s="85">
        <f>P46+P48</f>
        <v>360832.4</v>
      </c>
    </row>
    <row r="46" spans="1:16" ht="63.75" x14ac:dyDescent="0.25">
      <c r="A46" s="81" t="s">
        <v>238</v>
      </c>
      <c r="B46" s="82" t="s">
        <v>5</v>
      </c>
      <c r="C46" s="82" t="s">
        <v>57</v>
      </c>
      <c r="D46" s="82" t="s">
        <v>213</v>
      </c>
      <c r="E46" s="82" t="s">
        <v>417</v>
      </c>
      <c r="F46" s="82" t="s">
        <v>436</v>
      </c>
      <c r="G46" s="82" t="s">
        <v>389</v>
      </c>
      <c r="H46" s="82" t="s">
        <v>390</v>
      </c>
      <c r="I46" s="82" t="s">
        <v>130</v>
      </c>
      <c r="J46" s="83" t="s">
        <v>441</v>
      </c>
      <c r="K46" s="85">
        <f>SUM(K47:K47)</f>
        <v>548478</v>
      </c>
      <c r="L46" s="85">
        <f>SUM(L47:L47)</f>
        <v>274239</v>
      </c>
      <c r="M46" s="85">
        <f>SUM(M47:M47)</f>
        <v>0</v>
      </c>
      <c r="P46" s="85">
        <f>SUM(P47:P47)</f>
        <v>359443.7</v>
      </c>
    </row>
    <row r="47" spans="1:16" ht="63.75" x14ac:dyDescent="0.25">
      <c r="A47" s="81" t="s">
        <v>239</v>
      </c>
      <c r="B47" s="82" t="s">
        <v>5</v>
      </c>
      <c r="C47" s="82" t="s">
        <v>57</v>
      </c>
      <c r="D47" s="82" t="s">
        <v>213</v>
      </c>
      <c r="E47" s="82" t="s">
        <v>417</v>
      </c>
      <c r="F47" s="82" t="s">
        <v>442</v>
      </c>
      <c r="G47" s="82" t="s">
        <v>65</v>
      </c>
      <c r="H47" s="82" t="s">
        <v>390</v>
      </c>
      <c r="I47" s="82" t="s">
        <v>130</v>
      </c>
      <c r="J47" s="83" t="s">
        <v>3</v>
      </c>
      <c r="K47" s="85">
        <v>548478</v>
      </c>
      <c r="L47" s="85">
        <v>274239</v>
      </c>
      <c r="M47" s="85">
        <v>0</v>
      </c>
      <c r="P47" s="85">
        <v>359443.7</v>
      </c>
    </row>
    <row r="48" spans="1:16" ht="76.5" x14ac:dyDescent="0.25">
      <c r="A48" s="81" t="s">
        <v>240</v>
      </c>
      <c r="B48" s="82" t="s">
        <v>5</v>
      </c>
      <c r="C48" s="82" t="s">
        <v>57</v>
      </c>
      <c r="D48" s="82" t="s">
        <v>213</v>
      </c>
      <c r="E48" s="82" t="s">
        <v>417</v>
      </c>
      <c r="F48" s="82" t="s">
        <v>398</v>
      </c>
      <c r="G48" s="82" t="s">
        <v>389</v>
      </c>
      <c r="H48" s="82" t="s">
        <v>390</v>
      </c>
      <c r="I48" s="82" t="s">
        <v>130</v>
      </c>
      <c r="J48" s="83" t="s">
        <v>443</v>
      </c>
      <c r="K48" s="85">
        <f>SUM(K49:K49)</f>
        <v>14692</v>
      </c>
      <c r="L48" s="85">
        <f>SUM(L49:L49)</f>
        <v>14692</v>
      </c>
      <c r="M48" s="85">
        <f>SUM(M49:M49)</f>
        <v>14692</v>
      </c>
      <c r="P48" s="85">
        <f>SUM(P49:P49)</f>
        <v>1388.7</v>
      </c>
    </row>
    <row r="49" spans="1:16" ht="63.75" x14ac:dyDescent="0.25">
      <c r="A49" s="81" t="s">
        <v>241</v>
      </c>
      <c r="B49" s="82" t="s">
        <v>5</v>
      </c>
      <c r="C49" s="82" t="s">
        <v>57</v>
      </c>
      <c r="D49" s="82" t="s">
        <v>213</v>
      </c>
      <c r="E49" s="82" t="s">
        <v>417</v>
      </c>
      <c r="F49" s="82" t="s">
        <v>444</v>
      </c>
      <c r="G49" s="82" t="s">
        <v>65</v>
      </c>
      <c r="H49" s="82" t="s">
        <v>390</v>
      </c>
      <c r="I49" s="82" t="s">
        <v>130</v>
      </c>
      <c r="J49" s="83" t="s">
        <v>445</v>
      </c>
      <c r="K49" s="85">
        <v>14692</v>
      </c>
      <c r="L49" s="85">
        <v>14692</v>
      </c>
      <c r="M49" s="85">
        <v>14692</v>
      </c>
      <c r="P49" s="85">
        <v>1388.7</v>
      </c>
    </row>
    <row r="50" spans="1:16" ht="25.5" x14ac:dyDescent="0.25">
      <c r="A50" s="81" t="s">
        <v>242</v>
      </c>
      <c r="B50" s="165" t="s">
        <v>5</v>
      </c>
      <c r="C50" s="165" t="s">
        <v>57</v>
      </c>
      <c r="D50" s="165" t="s">
        <v>215</v>
      </c>
      <c r="E50" s="165" t="s">
        <v>389</v>
      </c>
      <c r="F50" s="165" t="s">
        <v>388</v>
      </c>
      <c r="G50" s="165" t="s">
        <v>389</v>
      </c>
      <c r="H50" s="165" t="s">
        <v>390</v>
      </c>
      <c r="I50" s="165" t="s">
        <v>388</v>
      </c>
      <c r="J50" s="83" t="s">
        <v>557</v>
      </c>
      <c r="K50" s="85">
        <f>K51</f>
        <v>15073</v>
      </c>
      <c r="L50" s="85">
        <f t="shared" ref="L50:M50" si="8">L51</f>
        <v>0</v>
      </c>
      <c r="M50" s="85">
        <f t="shared" si="8"/>
        <v>0</v>
      </c>
      <c r="N50" s="161"/>
      <c r="P50" s="85">
        <f>P51</f>
        <v>15072.3</v>
      </c>
    </row>
    <row r="51" spans="1:16" s="168" customFormat="1" ht="12.75" x14ac:dyDescent="0.2">
      <c r="A51" s="81" t="s">
        <v>243</v>
      </c>
      <c r="B51" s="165" t="s">
        <v>5</v>
      </c>
      <c r="C51" s="165" t="s">
        <v>57</v>
      </c>
      <c r="D51" s="165" t="s">
        <v>215</v>
      </c>
      <c r="E51" s="165" t="s">
        <v>394</v>
      </c>
      <c r="F51" s="165" t="s">
        <v>388</v>
      </c>
      <c r="G51" s="165" t="s">
        <v>389</v>
      </c>
      <c r="H51" s="165" t="s">
        <v>390</v>
      </c>
      <c r="I51" s="165" t="s">
        <v>327</v>
      </c>
      <c r="J51" s="166" t="s">
        <v>558</v>
      </c>
      <c r="K51" s="167">
        <f>K52</f>
        <v>15073</v>
      </c>
      <c r="L51" s="167">
        <v>0</v>
      </c>
      <c r="M51" s="167">
        <v>0</v>
      </c>
      <c r="P51" s="167">
        <f>P52</f>
        <v>15072.3</v>
      </c>
    </row>
    <row r="52" spans="1:16" s="168" customFormat="1" ht="25.5" x14ac:dyDescent="0.2">
      <c r="A52" s="81" t="s">
        <v>244</v>
      </c>
      <c r="B52" s="165" t="s">
        <v>5</v>
      </c>
      <c r="C52" s="165" t="s">
        <v>57</v>
      </c>
      <c r="D52" s="165" t="s">
        <v>215</v>
      </c>
      <c r="E52" s="165" t="s">
        <v>394</v>
      </c>
      <c r="F52" s="165" t="s">
        <v>559</v>
      </c>
      <c r="G52" s="165" t="s">
        <v>389</v>
      </c>
      <c r="H52" s="165" t="s">
        <v>390</v>
      </c>
      <c r="I52" s="165" t="s">
        <v>327</v>
      </c>
      <c r="J52" s="166" t="s">
        <v>560</v>
      </c>
      <c r="K52" s="167">
        <f>K53</f>
        <v>15073</v>
      </c>
      <c r="L52" s="167">
        <v>0</v>
      </c>
      <c r="M52" s="167">
        <v>0</v>
      </c>
      <c r="P52" s="167">
        <f>P53</f>
        <v>15072.3</v>
      </c>
    </row>
    <row r="53" spans="1:16" s="168" customFormat="1" ht="38.25" x14ac:dyDescent="0.2">
      <c r="A53" s="81" t="s">
        <v>245</v>
      </c>
      <c r="B53" s="165" t="s">
        <v>5</v>
      </c>
      <c r="C53" s="165" t="s">
        <v>57</v>
      </c>
      <c r="D53" s="165" t="s">
        <v>215</v>
      </c>
      <c r="E53" s="165" t="s">
        <v>394</v>
      </c>
      <c r="F53" s="165" t="s">
        <v>561</v>
      </c>
      <c r="G53" s="165" t="s">
        <v>65</v>
      </c>
      <c r="H53" s="165" t="s">
        <v>390</v>
      </c>
      <c r="I53" s="165" t="s">
        <v>327</v>
      </c>
      <c r="J53" s="166" t="s">
        <v>562</v>
      </c>
      <c r="K53" s="167">
        <v>15073</v>
      </c>
      <c r="L53" s="167">
        <v>0</v>
      </c>
      <c r="M53" s="167">
        <v>0</v>
      </c>
      <c r="P53" s="167">
        <v>15072.3</v>
      </c>
    </row>
    <row r="54" spans="1:16" x14ac:dyDescent="0.25">
      <c r="A54" s="81" t="s">
        <v>246</v>
      </c>
      <c r="B54" s="82" t="s">
        <v>5</v>
      </c>
      <c r="C54" s="82" t="s">
        <v>57</v>
      </c>
      <c r="D54" s="82" t="s">
        <v>218</v>
      </c>
      <c r="E54" s="82" t="s">
        <v>389</v>
      </c>
      <c r="F54" s="82" t="s">
        <v>388</v>
      </c>
      <c r="G54" s="82" t="s">
        <v>389</v>
      </c>
      <c r="H54" s="82" t="s">
        <v>390</v>
      </c>
      <c r="I54" s="82" t="s">
        <v>388</v>
      </c>
      <c r="J54" s="83" t="s">
        <v>446</v>
      </c>
      <c r="K54" s="85">
        <f>K55</f>
        <v>40000</v>
      </c>
      <c r="L54" s="85">
        <f>L55</f>
        <v>41500</v>
      </c>
      <c r="M54" s="85">
        <f>M55</f>
        <v>43000</v>
      </c>
      <c r="P54" s="85">
        <f>P55</f>
        <v>20307.12</v>
      </c>
    </row>
    <row r="55" spans="1:16" ht="38.25" x14ac:dyDescent="0.25">
      <c r="A55" s="81" t="s">
        <v>247</v>
      </c>
      <c r="B55" s="82" t="s">
        <v>5</v>
      </c>
      <c r="C55" s="82" t="s">
        <v>57</v>
      </c>
      <c r="D55" s="82" t="s">
        <v>218</v>
      </c>
      <c r="E55" s="82" t="s">
        <v>394</v>
      </c>
      <c r="F55" s="82" t="s">
        <v>388</v>
      </c>
      <c r="G55" s="82" t="s">
        <v>394</v>
      </c>
      <c r="H55" s="82" t="s">
        <v>390</v>
      </c>
      <c r="I55" s="82" t="s">
        <v>337</v>
      </c>
      <c r="J55" s="83" t="s">
        <v>447</v>
      </c>
      <c r="K55" s="85">
        <f>SUM(K56)</f>
        <v>40000</v>
      </c>
      <c r="L55" s="85">
        <f>SUM(L56)</f>
        <v>41500</v>
      </c>
      <c r="M55" s="85">
        <f>SUM(M56)</f>
        <v>43000</v>
      </c>
      <c r="P55" s="85">
        <f>SUM(P56)</f>
        <v>20307.12</v>
      </c>
    </row>
    <row r="56" spans="1:16" ht="51" x14ac:dyDescent="0.25">
      <c r="A56" s="81" t="s">
        <v>248</v>
      </c>
      <c r="B56" s="82" t="s">
        <v>5</v>
      </c>
      <c r="C56" s="82" t="s">
        <v>57</v>
      </c>
      <c r="D56" s="82" t="s">
        <v>218</v>
      </c>
      <c r="E56" s="82" t="s">
        <v>394</v>
      </c>
      <c r="F56" s="82" t="s">
        <v>436</v>
      </c>
      <c r="G56" s="82" t="s">
        <v>394</v>
      </c>
      <c r="H56" s="82" t="s">
        <v>390</v>
      </c>
      <c r="I56" s="82" t="s">
        <v>337</v>
      </c>
      <c r="J56" s="83" t="s">
        <v>4</v>
      </c>
      <c r="K56" s="85">
        <v>40000</v>
      </c>
      <c r="L56" s="85">
        <v>41500</v>
      </c>
      <c r="M56" s="85">
        <v>43000</v>
      </c>
      <c r="P56" s="85">
        <v>20307.12</v>
      </c>
    </row>
    <row r="57" spans="1:16" x14ac:dyDescent="0.25">
      <c r="A57" s="81" t="s">
        <v>249</v>
      </c>
      <c r="B57" s="82" t="s">
        <v>5</v>
      </c>
      <c r="C57" s="82" t="s">
        <v>57</v>
      </c>
      <c r="D57" s="82" t="s">
        <v>219</v>
      </c>
      <c r="E57" s="82" t="s">
        <v>389</v>
      </c>
      <c r="F57" s="82" t="s">
        <v>388</v>
      </c>
      <c r="G57" s="82" t="s">
        <v>389</v>
      </c>
      <c r="H57" s="82" t="s">
        <v>390</v>
      </c>
      <c r="I57" s="82" t="s">
        <v>388</v>
      </c>
      <c r="J57" s="83" t="s">
        <v>563</v>
      </c>
      <c r="K57" s="85">
        <f>K58</f>
        <v>183023</v>
      </c>
      <c r="L57" s="85">
        <f t="shared" ref="L57:M58" si="9">L58</f>
        <v>0</v>
      </c>
      <c r="M57" s="85">
        <f t="shared" si="9"/>
        <v>0</v>
      </c>
      <c r="P57" s="85">
        <f>P58</f>
        <v>35000</v>
      </c>
    </row>
    <row r="58" spans="1:16" x14ac:dyDescent="0.25">
      <c r="A58" s="81" t="s">
        <v>250</v>
      </c>
      <c r="B58" s="82" t="s">
        <v>5</v>
      </c>
      <c r="C58" s="82" t="s">
        <v>57</v>
      </c>
      <c r="D58" s="82" t="s">
        <v>219</v>
      </c>
      <c r="E58" s="82" t="s">
        <v>217</v>
      </c>
      <c r="F58" s="82" t="s">
        <v>388</v>
      </c>
      <c r="G58" s="82" t="s">
        <v>389</v>
      </c>
      <c r="H58" s="82" t="s">
        <v>390</v>
      </c>
      <c r="I58" s="82" t="s">
        <v>352</v>
      </c>
      <c r="J58" s="83" t="s">
        <v>564</v>
      </c>
      <c r="K58" s="85">
        <f>K59</f>
        <v>183023</v>
      </c>
      <c r="L58" s="85">
        <f t="shared" si="9"/>
        <v>0</v>
      </c>
      <c r="M58" s="85">
        <f t="shared" si="9"/>
        <v>0</v>
      </c>
      <c r="P58" s="85">
        <f>P59</f>
        <v>35000</v>
      </c>
    </row>
    <row r="59" spans="1:16" ht="25.5" x14ac:dyDescent="0.25">
      <c r="A59" s="81" t="s">
        <v>251</v>
      </c>
      <c r="B59" s="82" t="s">
        <v>5</v>
      </c>
      <c r="C59" s="82" t="s">
        <v>57</v>
      </c>
      <c r="D59" s="82" t="s">
        <v>219</v>
      </c>
      <c r="E59" s="82" t="s">
        <v>217</v>
      </c>
      <c r="F59" s="82" t="s">
        <v>398</v>
      </c>
      <c r="G59" s="82" t="s">
        <v>65</v>
      </c>
      <c r="H59" s="82" t="s">
        <v>390</v>
      </c>
      <c r="I59" s="82" t="s">
        <v>352</v>
      </c>
      <c r="J59" s="83" t="s">
        <v>565</v>
      </c>
      <c r="K59" s="85">
        <f>SUM(K60:K61)</f>
        <v>183023</v>
      </c>
      <c r="L59" s="85">
        <f t="shared" ref="L59:M59" si="10">SUM(L60:L61)</f>
        <v>0</v>
      </c>
      <c r="M59" s="85">
        <f t="shared" si="10"/>
        <v>0</v>
      </c>
      <c r="P59" s="85">
        <f>SUM(P60:P61)</f>
        <v>35000</v>
      </c>
    </row>
    <row r="60" spans="1:16" ht="51" x14ac:dyDescent="0.25">
      <c r="A60" s="81" t="s">
        <v>252</v>
      </c>
      <c r="B60" s="82" t="s">
        <v>5</v>
      </c>
      <c r="C60" s="82" t="s">
        <v>57</v>
      </c>
      <c r="D60" s="82" t="s">
        <v>219</v>
      </c>
      <c r="E60" s="82" t="s">
        <v>217</v>
      </c>
      <c r="F60" s="82" t="s">
        <v>398</v>
      </c>
      <c r="G60" s="82" t="s">
        <v>65</v>
      </c>
      <c r="H60" s="82" t="s">
        <v>554</v>
      </c>
      <c r="I60" s="82" t="s">
        <v>352</v>
      </c>
      <c r="J60" s="83" t="s">
        <v>555</v>
      </c>
      <c r="K60" s="85">
        <v>112158</v>
      </c>
      <c r="L60" s="85">
        <v>0</v>
      </c>
      <c r="M60" s="85">
        <v>0</v>
      </c>
      <c r="P60" s="85">
        <f>15000+20000</f>
        <v>35000</v>
      </c>
    </row>
    <row r="61" spans="1:16" ht="51" x14ac:dyDescent="0.25">
      <c r="A61" s="81" t="s">
        <v>253</v>
      </c>
      <c r="B61" s="82" t="s">
        <v>5</v>
      </c>
      <c r="C61" s="82" t="s">
        <v>57</v>
      </c>
      <c r="D61" s="82" t="s">
        <v>219</v>
      </c>
      <c r="E61" s="82" t="s">
        <v>217</v>
      </c>
      <c r="F61" s="82" t="s">
        <v>398</v>
      </c>
      <c r="G61" s="82" t="s">
        <v>65</v>
      </c>
      <c r="H61" s="82" t="s">
        <v>86</v>
      </c>
      <c r="I61" s="82" t="s">
        <v>352</v>
      </c>
      <c r="J61" s="83" t="s">
        <v>556</v>
      </c>
      <c r="K61" s="85">
        <v>70865</v>
      </c>
      <c r="L61" s="85">
        <v>0</v>
      </c>
      <c r="M61" s="85">
        <v>0</v>
      </c>
      <c r="P61" s="85"/>
    </row>
    <row r="62" spans="1:16" x14ac:dyDescent="0.25">
      <c r="A62" s="81" t="s">
        <v>254</v>
      </c>
      <c r="B62" s="82" t="s">
        <v>5</v>
      </c>
      <c r="C62" s="91" t="s">
        <v>55</v>
      </c>
      <c r="D62" s="91" t="s">
        <v>389</v>
      </c>
      <c r="E62" s="91" t="s">
        <v>389</v>
      </c>
      <c r="F62" s="91" t="s">
        <v>388</v>
      </c>
      <c r="G62" s="91" t="s">
        <v>389</v>
      </c>
      <c r="H62" s="91" t="s">
        <v>390</v>
      </c>
      <c r="I62" s="91" t="s">
        <v>388</v>
      </c>
      <c r="J62" s="92" t="s">
        <v>448</v>
      </c>
      <c r="K62" s="93">
        <f>K63+K91</f>
        <v>12219516</v>
      </c>
      <c r="L62" s="93">
        <f t="shared" ref="L62:M62" si="11">L63+L91</f>
        <v>57184488</v>
      </c>
      <c r="M62" s="93">
        <f t="shared" si="11"/>
        <v>5553507</v>
      </c>
      <c r="P62" s="93" t="e">
        <f>P63+P91+#REF!</f>
        <v>#REF!</v>
      </c>
    </row>
    <row r="63" spans="1:16" ht="30" customHeight="1" x14ac:dyDescent="0.25">
      <c r="A63" s="81" t="s">
        <v>255</v>
      </c>
      <c r="B63" s="82" t="s">
        <v>5</v>
      </c>
      <c r="C63" s="91" t="s">
        <v>55</v>
      </c>
      <c r="D63" s="91" t="s">
        <v>394</v>
      </c>
      <c r="E63" s="91" t="s">
        <v>389</v>
      </c>
      <c r="F63" s="91" t="s">
        <v>388</v>
      </c>
      <c r="G63" s="91" t="s">
        <v>389</v>
      </c>
      <c r="H63" s="91" t="s">
        <v>390</v>
      </c>
      <c r="I63" s="91" t="s">
        <v>388</v>
      </c>
      <c r="J63" s="125" t="s">
        <v>449</v>
      </c>
      <c r="K63" s="93">
        <f>K64+K73+K79+K69</f>
        <v>12197640</v>
      </c>
      <c r="L63" s="93">
        <f t="shared" ref="L63:M63" si="12">L64+L73+L79+L69</f>
        <v>57057281</v>
      </c>
      <c r="M63" s="93">
        <f t="shared" si="12"/>
        <v>5303424</v>
      </c>
      <c r="P63" s="93">
        <f>P64+P73+P79+P69</f>
        <v>3551956</v>
      </c>
    </row>
    <row r="64" spans="1:16" ht="25.5" x14ac:dyDescent="0.25">
      <c r="A64" s="81" t="s">
        <v>256</v>
      </c>
      <c r="B64" s="82" t="s">
        <v>5</v>
      </c>
      <c r="C64" s="91" t="s">
        <v>55</v>
      </c>
      <c r="D64" s="91" t="s">
        <v>394</v>
      </c>
      <c r="E64" s="91" t="s">
        <v>65</v>
      </c>
      <c r="F64" s="91" t="s">
        <v>388</v>
      </c>
      <c r="G64" s="91" t="s">
        <v>389</v>
      </c>
      <c r="H64" s="91" t="s">
        <v>390</v>
      </c>
      <c r="I64" s="91" t="s">
        <v>352</v>
      </c>
      <c r="J64" s="125" t="s">
        <v>450</v>
      </c>
      <c r="K64" s="93">
        <f t="shared" ref="K64:M65" si="13">K65</f>
        <v>4270100</v>
      </c>
      <c r="L64" s="93">
        <f t="shared" si="13"/>
        <v>2188710</v>
      </c>
      <c r="M64" s="93">
        <f t="shared" si="13"/>
        <v>2188710</v>
      </c>
      <c r="P64" s="93">
        <f t="shared" ref="P64:P65" si="14">P65</f>
        <v>3048781</v>
      </c>
    </row>
    <row r="65" spans="1:16" ht="25.5" x14ac:dyDescent="0.25">
      <c r="A65" s="81" t="s">
        <v>257</v>
      </c>
      <c r="B65" s="82" t="s">
        <v>5</v>
      </c>
      <c r="C65" s="91" t="s">
        <v>55</v>
      </c>
      <c r="D65" s="91" t="s">
        <v>394</v>
      </c>
      <c r="E65" s="91" t="s">
        <v>217</v>
      </c>
      <c r="F65" s="91" t="s">
        <v>451</v>
      </c>
      <c r="G65" s="91" t="s">
        <v>389</v>
      </c>
      <c r="H65" s="91" t="s">
        <v>390</v>
      </c>
      <c r="I65" s="91" t="s">
        <v>352</v>
      </c>
      <c r="J65" s="92" t="s">
        <v>498</v>
      </c>
      <c r="K65" s="93">
        <f t="shared" si="13"/>
        <v>4270100</v>
      </c>
      <c r="L65" s="93">
        <f t="shared" si="13"/>
        <v>2188710</v>
      </c>
      <c r="M65" s="93">
        <f t="shared" si="13"/>
        <v>2188710</v>
      </c>
      <c r="P65" s="93">
        <f t="shared" si="14"/>
        <v>3048781</v>
      </c>
    </row>
    <row r="66" spans="1:16" ht="42" customHeight="1" x14ac:dyDescent="0.25">
      <c r="A66" s="81" t="s">
        <v>258</v>
      </c>
      <c r="B66" s="82" t="s">
        <v>5</v>
      </c>
      <c r="C66" s="91" t="s">
        <v>55</v>
      </c>
      <c r="D66" s="91" t="s">
        <v>394</v>
      </c>
      <c r="E66" s="91" t="s">
        <v>217</v>
      </c>
      <c r="F66" s="91" t="s">
        <v>451</v>
      </c>
      <c r="G66" s="91" t="s">
        <v>65</v>
      </c>
      <c r="H66" s="91" t="s">
        <v>390</v>
      </c>
      <c r="I66" s="91" t="s">
        <v>352</v>
      </c>
      <c r="J66" s="92" t="s">
        <v>499</v>
      </c>
      <c r="K66" s="93">
        <f>K67+K68</f>
        <v>4270100</v>
      </c>
      <c r="L66" s="93">
        <f>L67+L68</f>
        <v>2188710</v>
      </c>
      <c r="M66" s="93">
        <f>M67+M68</f>
        <v>2188710</v>
      </c>
      <c r="P66" s="93">
        <f>P67+P68</f>
        <v>3048781</v>
      </c>
    </row>
    <row r="67" spans="1:16" ht="38.25" x14ac:dyDescent="0.25">
      <c r="A67" s="81" t="s">
        <v>259</v>
      </c>
      <c r="B67" s="82" t="s">
        <v>5</v>
      </c>
      <c r="C67" s="91" t="s">
        <v>55</v>
      </c>
      <c r="D67" s="91" t="s">
        <v>394</v>
      </c>
      <c r="E67" s="91" t="s">
        <v>217</v>
      </c>
      <c r="F67" s="91" t="s">
        <v>451</v>
      </c>
      <c r="G67" s="91" t="s">
        <v>65</v>
      </c>
      <c r="H67" s="91" t="s">
        <v>452</v>
      </c>
      <c r="I67" s="91" t="s">
        <v>352</v>
      </c>
      <c r="J67" s="92" t="s">
        <v>471</v>
      </c>
      <c r="K67" s="93">
        <v>1709400</v>
      </c>
      <c r="L67" s="85">
        <v>1367510</v>
      </c>
      <c r="M67" s="85">
        <v>1367510</v>
      </c>
      <c r="P67" s="93">
        <v>854700</v>
      </c>
    </row>
    <row r="68" spans="1:16" ht="38.25" x14ac:dyDescent="0.25">
      <c r="A68" s="81" t="s">
        <v>260</v>
      </c>
      <c r="B68" s="82" t="s">
        <v>5</v>
      </c>
      <c r="C68" s="91" t="s">
        <v>55</v>
      </c>
      <c r="D68" s="91" t="s">
        <v>394</v>
      </c>
      <c r="E68" s="91" t="s">
        <v>217</v>
      </c>
      <c r="F68" s="91" t="s">
        <v>451</v>
      </c>
      <c r="G68" s="91" t="s">
        <v>65</v>
      </c>
      <c r="H68" s="91" t="s">
        <v>453</v>
      </c>
      <c r="I68" s="91" t="s">
        <v>352</v>
      </c>
      <c r="J68" s="92" t="s">
        <v>473</v>
      </c>
      <c r="K68" s="93">
        <v>2560700</v>
      </c>
      <c r="L68" s="85">
        <v>821200</v>
      </c>
      <c r="M68" s="85">
        <v>821200</v>
      </c>
      <c r="P68" s="93">
        <v>2194081</v>
      </c>
    </row>
    <row r="69" spans="1:16" ht="25.5" x14ac:dyDescent="0.25">
      <c r="A69" s="81" t="s">
        <v>261</v>
      </c>
      <c r="B69" s="82" t="s">
        <v>5</v>
      </c>
      <c r="C69" s="82" t="s">
        <v>55</v>
      </c>
      <c r="D69" s="82" t="s">
        <v>394</v>
      </c>
      <c r="E69" s="82" t="s">
        <v>222</v>
      </c>
      <c r="F69" s="82" t="s">
        <v>388</v>
      </c>
      <c r="G69" s="82" t="s">
        <v>389</v>
      </c>
      <c r="H69" s="82" t="s">
        <v>390</v>
      </c>
      <c r="I69" s="82" t="s">
        <v>352</v>
      </c>
      <c r="J69" s="83" t="s">
        <v>547</v>
      </c>
      <c r="K69" s="93">
        <f t="shared" ref="K69:M70" si="15">K70</f>
        <v>2145000</v>
      </c>
      <c r="L69" s="93">
        <f t="shared" si="15"/>
        <v>0</v>
      </c>
      <c r="M69" s="93">
        <f t="shared" si="15"/>
        <v>0</v>
      </c>
      <c r="N69" s="161"/>
      <c r="P69" s="93">
        <f t="shared" ref="P69:P70" si="16">P70</f>
        <v>0</v>
      </c>
    </row>
    <row r="70" spans="1:16" x14ac:dyDescent="0.25">
      <c r="A70" s="81" t="s">
        <v>262</v>
      </c>
      <c r="B70" s="82" t="s">
        <v>5</v>
      </c>
      <c r="C70" s="82" t="s">
        <v>55</v>
      </c>
      <c r="D70" s="82" t="s">
        <v>394</v>
      </c>
      <c r="E70" s="82" t="s">
        <v>232</v>
      </c>
      <c r="F70" s="82" t="s">
        <v>454</v>
      </c>
      <c r="G70" s="82" t="s">
        <v>389</v>
      </c>
      <c r="H70" s="82" t="s">
        <v>390</v>
      </c>
      <c r="I70" s="82" t="s">
        <v>352</v>
      </c>
      <c r="J70" s="94" t="s">
        <v>548</v>
      </c>
      <c r="K70" s="93">
        <f t="shared" si="15"/>
        <v>2145000</v>
      </c>
      <c r="L70" s="93">
        <f t="shared" si="15"/>
        <v>0</v>
      </c>
      <c r="M70" s="93">
        <f t="shared" si="15"/>
        <v>0</v>
      </c>
      <c r="N70" s="161"/>
      <c r="P70" s="93">
        <f t="shared" si="16"/>
        <v>0</v>
      </c>
    </row>
    <row r="71" spans="1:16" x14ac:dyDescent="0.25">
      <c r="A71" s="81" t="s">
        <v>263</v>
      </c>
      <c r="B71" s="82" t="s">
        <v>5</v>
      </c>
      <c r="C71" s="82" t="s">
        <v>55</v>
      </c>
      <c r="D71" s="82" t="s">
        <v>394</v>
      </c>
      <c r="E71" s="82" t="s">
        <v>232</v>
      </c>
      <c r="F71" s="82" t="s">
        <v>454</v>
      </c>
      <c r="G71" s="82" t="s">
        <v>65</v>
      </c>
      <c r="H71" s="82" t="s">
        <v>390</v>
      </c>
      <c r="I71" s="82" t="s">
        <v>352</v>
      </c>
      <c r="J71" s="92" t="s">
        <v>549</v>
      </c>
      <c r="K71" s="93">
        <f>SUM(K72)</f>
        <v>2145000</v>
      </c>
      <c r="L71" s="93">
        <f t="shared" ref="L71:M71" si="17">SUM(L72)</f>
        <v>0</v>
      </c>
      <c r="M71" s="93">
        <f t="shared" si="17"/>
        <v>0</v>
      </c>
      <c r="N71" s="161"/>
      <c r="P71" s="93">
        <f>SUM(P72)</f>
        <v>0</v>
      </c>
    </row>
    <row r="72" spans="1:16" ht="51" x14ac:dyDescent="0.25">
      <c r="A72" s="81" t="s">
        <v>264</v>
      </c>
      <c r="B72" s="82" t="s">
        <v>5</v>
      </c>
      <c r="C72" s="82" t="s">
        <v>55</v>
      </c>
      <c r="D72" s="82" t="s">
        <v>394</v>
      </c>
      <c r="E72" s="82" t="s">
        <v>232</v>
      </c>
      <c r="F72" s="82" t="s">
        <v>454</v>
      </c>
      <c r="G72" s="82" t="s">
        <v>65</v>
      </c>
      <c r="H72" s="82" t="s">
        <v>545</v>
      </c>
      <c r="I72" s="82" t="s">
        <v>352</v>
      </c>
      <c r="J72" s="169" t="s">
        <v>546</v>
      </c>
      <c r="K72" s="93">
        <f>1427200+717800</f>
        <v>2145000</v>
      </c>
      <c r="L72" s="93">
        <v>0</v>
      </c>
      <c r="M72" s="93">
        <v>0</v>
      </c>
      <c r="N72" s="161"/>
      <c r="P72" s="93"/>
    </row>
    <row r="73" spans="1:16" ht="30" customHeight="1" x14ac:dyDescent="0.25">
      <c r="A73" s="81" t="s">
        <v>265</v>
      </c>
      <c r="B73" s="82" t="s">
        <v>5</v>
      </c>
      <c r="C73" s="91" t="s">
        <v>55</v>
      </c>
      <c r="D73" s="91" t="s">
        <v>394</v>
      </c>
      <c r="E73" s="91" t="s">
        <v>233</v>
      </c>
      <c r="F73" s="91" t="s">
        <v>388</v>
      </c>
      <c r="G73" s="91" t="s">
        <v>389</v>
      </c>
      <c r="H73" s="91" t="s">
        <v>390</v>
      </c>
      <c r="I73" s="91" t="s">
        <v>352</v>
      </c>
      <c r="J73" s="92" t="s">
        <v>500</v>
      </c>
      <c r="K73" s="93">
        <f>K77+K74</f>
        <v>422065</v>
      </c>
      <c r="L73" s="93">
        <f>L77+L74</f>
        <v>437631</v>
      </c>
      <c r="M73" s="93">
        <f>M77+M74</f>
        <v>454474</v>
      </c>
      <c r="P73" s="93">
        <f>P77+P74</f>
        <v>210000</v>
      </c>
    </row>
    <row r="74" spans="1:16" ht="31.5" customHeight="1" x14ac:dyDescent="0.25">
      <c r="A74" s="81" t="s">
        <v>266</v>
      </c>
      <c r="B74" s="82" t="s">
        <v>5</v>
      </c>
      <c r="C74" s="91" t="s">
        <v>55</v>
      </c>
      <c r="D74" s="91" t="s">
        <v>394</v>
      </c>
      <c r="E74" s="91" t="s">
        <v>233</v>
      </c>
      <c r="F74" s="91" t="s">
        <v>455</v>
      </c>
      <c r="G74" s="91" t="s">
        <v>389</v>
      </c>
      <c r="H74" s="91" t="s">
        <v>390</v>
      </c>
      <c r="I74" s="91" t="s">
        <v>352</v>
      </c>
      <c r="J74" s="92" t="s">
        <v>501</v>
      </c>
      <c r="K74" s="93">
        <f t="shared" ref="K74:M75" si="18">K75</f>
        <v>12800</v>
      </c>
      <c r="L74" s="93">
        <f t="shared" si="18"/>
        <v>12800</v>
      </c>
      <c r="M74" s="93">
        <f t="shared" si="18"/>
        <v>12800</v>
      </c>
      <c r="P74" s="93">
        <f t="shared" ref="P74:P75" si="19">P75</f>
        <v>0</v>
      </c>
    </row>
    <row r="75" spans="1:16" ht="33.75" customHeight="1" x14ac:dyDescent="0.25">
      <c r="A75" s="81" t="s">
        <v>267</v>
      </c>
      <c r="B75" s="82" t="s">
        <v>5</v>
      </c>
      <c r="C75" s="91" t="s">
        <v>55</v>
      </c>
      <c r="D75" s="91" t="s">
        <v>394</v>
      </c>
      <c r="E75" s="91" t="s">
        <v>233</v>
      </c>
      <c r="F75" s="91" t="s">
        <v>455</v>
      </c>
      <c r="G75" s="91" t="s">
        <v>65</v>
      </c>
      <c r="H75" s="91" t="s">
        <v>390</v>
      </c>
      <c r="I75" s="91" t="s">
        <v>352</v>
      </c>
      <c r="J75" s="92" t="s">
        <v>502</v>
      </c>
      <c r="K75" s="93">
        <f t="shared" si="18"/>
        <v>12800</v>
      </c>
      <c r="L75" s="93">
        <f t="shared" si="18"/>
        <v>12800</v>
      </c>
      <c r="M75" s="93">
        <f t="shared" si="18"/>
        <v>12800</v>
      </c>
      <c r="P75" s="93">
        <f t="shared" si="19"/>
        <v>0</v>
      </c>
    </row>
    <row r="76" spans="1:16" ht="70.5" customHeight="1" x14ac:dyDescent="0.25">
      <c r="A76" s="81" t="s">
        <v>268</v>
      </c>
      <c r="B76" s="82" t="s">
        <v>5</v>
      </c>
      <c r="C76" s="91" t="s">
        <v>55</v>
      </c>
      <c r="D76" s="91" t="s">
        <v>394</v>
      </c>
      <c r="E76" s="91" t="s">
        <v>233</v>
      </c>
      <c r="F76" s="91" t="s">
        <v>455</v>
      </c>
      <c r="G76" s="91" t="s">
        <v>65</v>
      </c>
      <c r="H76" s="91" t="s">
        <v>456</v>
      </c>
      <c r="I76" s="91" t="s">
        <v>352</v>
      </c>
      <c r="J76" s="94" t="s">
        <v>472</v>
      </c>
      <c r="K76" s="93">
        <v>12800</v>
      </c>
      <c r="L76" s="93">
        <v>12800</v>
      </c>
      <c r="M76" s="93">
        <v>12800</v>
      </c>
      <c r="P76" s="93"/>
    </row>
    <row r="77" spans="1:16" ht="42.75" customHeight="1" x14ac:dyDescent="0.25">
      <c r="A77" s="81" t="s">
        <v>269</v>
      </c>
      <c r="B77" s="82" t="s">
        <v>5</v>
      </c>
      <c r="C77" s="91" t="s">
        <v>55</v>
      </c>
      <c r="D77" s="91" t="s">
        <v>394</v>
      </c>
      <c r="E77" s="91" t="s">
        <v>238</v>
      </c>
      <c r="F77" s="91" t="s">
        <v>316</v>
      </c>
      <c r="G77" s="91" t="s">
        <v>389</v>
      </c>
      <c r="H77" s="91" t="s">
        <v>390</v>
      </c>
      <c r="I77" s="91" t="s">
        <v>352</v>
      </c>
      <c r="J77" s="92" t="s">
        <v>503</v>
      </c>
      <c r="K77" s="93">
        <f>K78</f>
        <v>409265</v>
      </c>
      <c r="L77" s="93">
        <f>L78</f>
        <v>424831</v>
      </c>
      <c r="M77" s="93">
        <f>M78</f>
        <v>441674</v>
      </c>
      <c r="P77" s="93">
        <f>P78</f>
        <v>210000</v>
      </c>
    </row>
    <row r="78" spans="1:16" ht="54" customHeight="1" x14ac:dyDescent="0.25">
      <c r="A78" s="81" t="s">
        <v>270</v>
      </c>
      <c r="B78" s="82" t="s">
        <v>5</v>
      </c>
      <c r="C78" s="91" t="s">
        <v>55</v>
      </c>
      <c r="D78" s="91" t="s">
        <v>394</v>
      </c>
      <c r="E78" s="91" t="s">
        <v>238</v>
      </c>
      <c r="F78" s="91" t="s">
        <v>316</v>
      </c>
      <c r="G78" s="91" t="s">
        <v>65</v>
      </c>
      <c r="H78" s="91" t="s">
        <v>390</v>
      </c>
      <c r="I78" s="91" t="s">
        <v>352</v>
      </c>
      <c r="J78" s="92" t="s">
        <v>504</v>
      </c>
      <c r="K78" s="93">
        <f>417181-7916</f>
        <v>409265</v>
      </c>
      <c r="L78" s="85">
        <f>435783-10952</f>
        <v>424831</v>
      </c>
      <c r="M78" s="85">
        <v>441674</v>
      </c>
      <c r="P78" s="93">
        <v>210000</v>
      </c>
    </row>
    <row r="79" spans="1:16" ht="19.5" customHeight="1" x14ac:dyDescent="0.25">
      <c r="A79" s="81" t="s">
        <v>271</v>
      </c>
      <c r="B79" s="82" t="s">
        <v>5</v>
      </c>
      <c r="C79" s="91" t="s">
        <v>55</v>
      </c>
      <c r="D79" s="91" t="s">
        <v>394</v>
      </c>
      <c r="E79" s="91" t="s">
        <v>243</v>
      </c>
      <c r="F79" s="91" t="s">
        <v>388</v>
      </c>
      <c r="G79" s="91" t="s">
        <v>389</v>
      </c>
      <c r="H79" s="91" t="s">
        <v>390</v>
      </c>
      <c r="I79" s="91" t="s">
        <v>352</v>
      </c>
      <c r="J79" s="92" t="s">
        <v>505</v>
      </c>
      <c r="K79" s="93">
        <f t="shared" ref="K79:M80" si="20">K80</f>
        <v>5360475</v>
      </c>
      <c r="L79" s="93">
        <f t="shared" si="20"/>
        <v>54430940</v>
      </c>
      <c r="M79" s="93">
        <f t="shared" si="20"/>
        <v>2660240</v>
      </c>
      <c r="P79" s="93">
        <f t="shared" ref="P79:P80" si="21">P80</f>
        <v>293175</v>
      </c>
    </row>
    <row r="80" spans="1:16" ht="21" customHeight="1" x14ac:dyDescent="0.25">
      <c r="A80" s="81" t="s">
        <v>272</v>
      </c>
      <c r="B80" s="82" t="s">
        <v>5</v>
      </c>
      <c r="C80" s="91" t="s">
        <v>55</v>
      </c>
      <c r="D80" s="91" t="s">
        <v>394</v>
      </c>
      <c r="E80" s="91" t="s">
        <v>252</v>
      </c>
      <c r="F80" s="91" t="s">
        <v>454</v>
      </c>
      <c r="G80" s="91" t="s">
        <v>389</v>
      </c>
      <c r="H80" s="91" t="s">
        <v>390</v>
      </c>
      <c r="I80" s="91" t="s">
        <v>352</v>
      </c>
      <c r="J80" s="92" t="s">
        <v>506</v>
      </c>
      <c r="K80" s="93">
        <f t="shared" si="20"/>
        <v>5360475</v>
      </c>
      <c r="L80" s="93">
        <f t="shared" si="20"/>
        <v>54430940</v>
      </c>
      <c r="M80" s="93">
        <f t="shared" si="20"/>
        <v>2660240</v>
      </c>
      <c r="P80" s="93">
        <f t="shared" si="21"/>
        <v>293175</v>
      </c>
    </row>
    <row r="81" spans="1:16" ht="32.25" customHeight="1" x14ac:dyDescent="0.25">
      <c r="A81" s="81" t="s">
        <v>273</v>
      </c>
      <c r="B81" s="82" t="s">
        <v>5</v>
      </c>
      <c r="C81" s="91" t="s">
        <v>55</v>
      </c>
      <c r="D81" s="91" t="s">
        <v>394</v>
      </c>
      <c r="E81" s="91" t="s">
        <v>252</v>
      </c>
      <c r="F81" s="91" t="s">
        <v>454</v>
      </c>
      <c r="G81" s="91" t="s">
        <v>65</v>
      </c>
      <c r="H81" s="91" t="s">
        <v>390</v>
      </c>
      <c r="I81" s="91" t="s">
        <v>352</v>
      </c>
      <c r="J81" s="92" t="s">
        <v>507</v>
      </c>
      <c r="K81" s="93">
        <f>SUM(K82:K90)</f>
        <v>5360475</v>
      </c>
      <c r="L81" s="93">
        <f t="shared" ref="L81:M81" si="22">SUM(L82:L90)</f>
        <v>54430940</v>
      </c>
      <c r="M81" s="93">
        <f t="shared" si="22"/>
        <v>2660240</v>
      </c>
      <c r="P81" s="93">
        <f>SUM(P82:P90)</f>
        <v>293175</v>
      </c>
    </row>
    <row r="82" spans="1:16" ht="63.75" x14ac:dyDescent="0.25">
      <c r="A82" s="81" t="s">
        <v>274</v>
      </c>
      <c r="B82" s="82" t="s">
        <v>5</v>
      </c>
      <c r="C82" s="91" t="s">
        <v>55</v>
      </c>
      <c r="D82" s="91" t="s">
        <v>394</v>
      </c>
      <c r="E82" s="91" t="s">
        <v>252</v>
      </c>
      <c r="F82" s="91" t="s">
        <v>454</v>
      </c>
      <c r="G82" s="91" t="s">
        <v>65</v>
      </c>
      <c r="H82" s="91" t="s">
        <v>544</v>
      </c>
      <c r="I82" s="91" t="s">
        <v>352</v>
      </c>
      <c r="J82" s="92" t="s">
        <v>550</v>
      </c>
      <c r="K82" s="93">
        <f>169873+144482</f>
        <v>314355</v>
      </c>
      <c r="L82" s="93">
        <v>0</v>
      </c>
      <c r="M82" s="93">
        <v>0</v>
      </c>
      <c r="P82" s="93">
        <v>94375</v>
      </c>
    </row>
    <row r="83" spans="1:16" ht="38.25" x14ac:dyDescent="0.25">
      <c r="A83" s="81" t="s">
        <v>275</v>
      </c>
      <c r="B83" s="82" t="s">
        <v>5</v>
      </c>
      <c r="C83" s="91" t="s">
        <v>55</v>
      </c>
      <c r="D83" s="91" t="s">
        <v>394</v>
      </c>
      <c r="E83" s="91" t="s">
        <v>252</v>
      </c>
      <c r="F83" s="91" t="s">
        <v>454</v>
      </c>
      <c r="G83" s="91" t="s">
        <v>65</v>
      </c>
      <c r="H83" s="91" t="s">
        <v>541</v>
      </c>
      <c r="I83" s="91" t="s">
        <v>352</v>
      </c>
      <c r="J83" s="92" t="s">
        <v>551</v>
      </c>
      <c r="K83" s="93">
        <v>198800</v>
      </c>
      <c r="L83" s="93">
        <v>198800</v>
      </c>
      <c r="M83" s="93">
        <v>198800</v>
      </c>
      <c r="P83" s="93">
        <v>198800</v>
      </c>
    </row>
    <row r="84" spans="1:16" ht="51" x14ac:dyDescent="0.25">
      <c r="A84" s="81" t="s">
        <v>276</v>
      </c>
      <c r="B84" s="82" t="s">
        <v>5</v>
      </c>
      <c r="C84" s="91" t="s">
        <v>55</v>
      </c>
      <c r="D84" s="91" t="s">
        <v>394</v>
      </c>
      <c r="E84" s="91" t="s">
        <v>252</v>
      </c>
      <c r="F84" s="91" t="s">
        <v>454</v>
      </c>
      <c r="G84" s="91" t="s">
        <v>65</v>
      </c>
      <c r="H84" s="91" t="s">
        <v>543</v>
      </c>
      <c r="I84" s="91" t="s">
        <v>352</v>
      </c>
      <c r="J84" s="92" t="s">
        <v>552</v>
      </c>
      <c r="K84" s="93">
        <v>1000000</v>
      </c>
      <c r="L84" s="93">
        <v>0</v>
      </c>
      <c r="M84" s="93">
        <v>0</v>
      </c>
      <c r="P84" s="93"/>
    </row>
    <row r="85" spans="1:16" ht="89.25" x14ac:dyDescent="0.25">
      <c r="A85" s="81" t="s">
        <v>277</v>
      </c>
      <c r="B85" s="82" t="s">
        <v>5</v>
      </c>
      <c r="C85" s="91" t="s">
        <v>55</v>
      </c>
      <c r="D85" s="91" t="s">
        <v>394</v>
      </c>
      <c r="E85" s="91" t="s">
        <v>252</v>
      </c>
      <c r="F85" s="91" t="s">
        <v>454</v>
      </c>
      <c r="G85" s="91" t="s">
        <v>65</v>
      </c>
      <c r="H85" s="91" t="s">
        <v>602</v>
      </c>
      <c r="I85" s="91" t="s">
        <v>352</v>
      </c>
      <c r="J85" s="92" t="s">
        <v>613</v>
      </c>
      <c r="K85" s="93">
        <v>421400</v>
      </c>
      <c r="L85" s="93">
        <v>0</v>
      </c>
      <c r="M85" s="93">
        <v>0</v>
      </c>
      <c r="P85" s="93"/>
    </row>
    <row r="86" spans="1:16" ht="51" x14ac:dyDescent="0.25">
      <c r="A86" s="81" t="s">
        <v>278</v>
      </c>
      <c r="B86" s="82" t="s">
        <v>5</v>
      </c>
      <c r="C86" s="91" t="s">
        <v>55</v>
      </c>
      <c r="D86" s="91" t="s">
        <v>394</v>
      </c>
      <c r="E86" s="91" t="s">
        <v>252</v>
      </c>
      <c r="F86" s="91" t="s">
        <v>454</v>
      </c>
      <c r="G86" s="91" t="s">
        <v>65</v>
      </c>
      <c r="H86" s="91" t="s">
        <v>542</v>
      </c>
      <c r="I86" s="91" t="s">
        <v>352</v>
      </c>
      <c r="J86" s="92" t="s">
        <v>553</v>
      </c>
      <c r="K86" s="93">
        <v>1500000</v>
      </c>
      <c r="L86" s="93">
        <v>0</v>
      </c>
      <c r="M86" s="93">
        <v>0</v>
      </c>
      <c r="P86" s="93"/>
    </row>
    <row r="87" spans="1:16" ht="38.25" x14ac:dyDescent="0.25">
      <c r="A87" s="81" t="s">
        <v>340</v>
      </c>
      <c r="B87" s="82" t="s">
        <v>5</v>
      </c>
      <c r="C87" s="91" t="s">
        <v>55</v>
      </c>
      <c r="D87" s="91" t="s">
        <v>394</v>
      </c>
      <c r="E87" s="91" t="s">
        <v>252</v>
      </c>
      <c r="F87" s="91" t="s">
        <v>454</v>
      </c>
      <c r="G87" s="91" t="s">
        <v>65</v>
      </c>
      <c r="H87" s="91" t="s">
        <v>655</v>
      </c>
      <c r="I87" s="91" t="s">
        <v>352</v>
      </c>
      <c r="J87" s="92" t="s">
        <v>657</v>
      </c>
      <c r="K87" s="93">
        <v>0</v>
      </c>
      <c r="L87" s="93">
        <v>51770700</v>
      </c>
      <c r="M87" s="93">
        <v>0</v>
      </c>
      <c r="P87" s="93"/>
    </row>
    <row r="88" spans="1:16" ht="38.25" x14ac:dyDescent="0.25">
      <c r="A88" s="81" t="s">
        <v>341</v>
      </c>
      <c r="B88" s="82" t="s">
        <v>5</v>
      </c>
      <c r="C88" s="91" t="s">
        <v>55</v>
      </c>
      <c r="D88" s="91" t="s">
        <v>394</v>
      </c>
      <c r="E88" s="91" t="s">
        <v>252</v>
      </c>
      <c r="F88" s="91" t="s">
        <v>454</v>
      </c>
      <c r="G88" s="91" t="s">
        <v>65</v>
      </c>
      <c r="H88" s="91" t="s">
        <v>603</v>
      </c>
      <c r="I88" s="91" t="s">
        <v>352</v>
      </c>
      <c r="J88" s="92" t="s">
        <v>611</v>
      </c>
      <c r="K88" s="93">
        <v>185300</v>
      </c>
      <c r="L88" s="93">
        <v>0</v>
      </c>
      <c r="M88" s="93">
        <v>0</v>
      </c>
      <c r="P88" s="93"/>
    </row>
    <row r="89" spans="1:16" ht="63.75" x14ac:dyDescent="0.25">
      <c r="A89" s="81" t="s">
        <v>342</v>
      </c>
      <c r="B89" s="82" t="s">
        <v>5</v>
      </c>
      <c r="C89" s="91" t="s">
        <v>55</v>
      </c>
      <c r="D89" s="91" t="s">
        <v>394</v>
      </c>
      <c r="E89" s="91" t="s">
        <v>252</v>
      </c>
      <c r="F89" s="91" t="s">
        <v>454</v>
      </c>
      <c r="G89" s="91" t="s">
        <v>65</v>
      </c>
      <c r="H89" s="91" t="s">
        <v>604</v>
      </c>
      <c r="I89" s="91" t="s">
        <v>352</v>
      </c>
      <c r="J89" s="92" t="s">
        <v>612</v>
      </c>
      <c r="K89" s="93">
        <v>250000</v>
      </c>
      <c r="L89" s="93">
        <v>0</v>
      </c>
      <c r="M89" s="93">
        <v>0</v>
      </c>
      <c r="P89" s="93"/>
    </row>
    <row r="90" spans="1:16" ht="51" x14ac:dyDescent="0.25">
      <c r="A90" s="81" t="s">
        <v>343</v>
      </c>
      <c r="B90" s="82" t="s">
        <v>5</v>
      </c>
      <c r="C90" s="91" t="s">
        <v>55</v>
      </c>
      <c r="D90" s="91" t="s">
        <v>394</v>
      </c>
      <c r="E90" s="91" t="s">
        <v>252</v>
      </c>
      <c r="F90" s="91" t="s">
        <v>454</v>
      </c>
      <c r="G90" s="91" t="s">
        <v>65</v>
      </c>
      <c r="H90" s="91" t="s">
        <v>457</v>
      </c>
      <c r="I90" s="91" t="s">
        <v>352</v>
      </c>
      <c r="J90" s="94" t="s">
        <v>460</v>
      </c>
      <c r="K90" s="93">
        <f>1389600+45300+55720</f>
        <v>1490620</v>
      </c>
      <c r="L90" s="93">
        <v>2461440</v>
      </c>
      <c r="M90" s="93">
        <v>2461440</v>
      </c>
      <c r="P90" s="93"/>
    </row>
    <row r="91" spans="1:16" ht="25.5" x14ac:dyDescent="0.25">
      <c r="A91" s="81" t="s">
        <v>282</v>
      </c>
      <c r="B91" s="82" t="s">
        <v>5</v>
      </c>
      <c r="C91" s="91" t="s">
        <v>55</v>
      </c>
      <c r="D91" s="91" t="s">
        <v>458</v>
      </c>
      <c r="E91" s="91" t="s">
        <v>389</v>
      </c>
      <c r="F91" s="91" t="s">
        <v>388</v>
      </c>
      <c r="G91" s="91" t="s">
        <v>389</v>
      </c>
      <c r="H91" s="91" t="s">
        <v>390</v>
      </c>
      <c r="I91" s="91" t="s">
        <v>388</v>
      </c>
      <c r="J91" s="92" t="s">
        <v>508</v>
      </c>
      <c r="K91" s="93">
        <f t="shared" ref="K91:M91" si="23">K92</f>
        <v>21876</v>
      </c>
      <c r="L91" s="93">
        <f t="shared" si="23"/>
        <v>127207</v>
      </c>
      <c r="M91" s="93">
        <f t="shared" si="23"/>
        <v>250083</v>
      </c>
      <c r="P91" s="93">
        <f t="shared" ref="P91" si="24">P92</f>
        <v>0</v>
      </c>
    </row>
    <row r="92" spans="1:16" ht="38.25" x14ac:dyDescent="0.25">
      <c r="A92" s="81" t="s">
        <v>283</v>
      </c>
      <c r="B92" s="82" t="s">
        <v>5</v>
      </c>
      <c r="C92" s="91" t="s">
        <v>55</v>
      </c>
      <c r="D92" s="91" t="s">
        <v>458</v>
      </c>
      <c r="E92" s="91" t="s">
        <v>417</v>
      </c>
      <c r="F92" s="91" t="s">
        <v>388</v>
      </c>
      <c r="G92" s="91" t="s">
        <v>65</v>
      </c>
      <c r="H92" s="91" t="s">
        <v>390</v>
      </c>
      <c r="I92" s="91" t="s">
        <v>352</v>
      </c>
      <c r="J92" s="92" t="s">
        <v>509</v>
      </c>
      <c r="K92" s="93">
        <f>K94+K95</f>
        <v>21876</v>
      </c>
      <c r="L92" s="93">
        <f>L94</f>
        <v>127207</v>
      </c>
      <c r="M92" s="93">
        <f>M94</f>
        <v>250083</v>
      </c>
      <c r="P92" s="93">
        <f>P94</f>
        <v>0</v>
      </c>
    </row>
    <row r="93" spans="1:16" ht="38.25" x14ac:dyDescent="0.25">
      <c r="A93" s="81" t="s">
        <v>284</v>
      </c>
      <c r="B93" s="82" t="s">
        <v>5</v>
      </c>
      <c r="C93" s="91" t="s">
        <v>55</v>
      </c>
      <c r="D93" s="91" t="s">
        <v>458</v>
      </c>
      <c r="E93" s="91" t="s">
        <v>417</v>
      </c>
      <c r="F93" s="91" t="s">
        <v>398</v>
      </c>
      <c r="G93" s="91" t="s">
        <v>65</v>
      </c>
      <c r="H93" s="91" t="s">
        <v>390</v>
      </c>
      <c r="I93" s="91" t="s">
        <v>352</v>
      </c>
      <c r="J93" s="92" t="s">
        <v>509</v>
      </c>
      <c r="K93" s="93">
        <v>0</v>
      </c>
      <c r="L93" s="85">
        <f>(L11+L63)/97.5*100-(L11+L63)-0.21</f>
        <v>1463007.28</v>
      </c>
      <c r="M93" s="85">
        <f>(M11+M63)/95*100-(M11+M63)-0.26</f>
        <v>279127.95</v>
      </c>
      <c r="P93" s="93"/>
    </row>
    <row r="94" spans="1:16" ht="38.25" x14ac:dyDescent="0.25">
      <c r="A94" s="81" t="s">
        <v>285</v>
      </c>
      <c r="B94" s="82" t="s">
        <v>5</v>
      </c>
      <c r="C94" s="91" t="s">
        <v>55</v>
      </c>
      <c r="D94" s="91" t="s">
        <v>458</v>
      </c>
      <c r="E94" s="91" t="s">
        <v>417</v>
      </c>
      <c r="F94" s="91" t="s">
        <v>398</v>
      </c>
      <c r="G94" s="91" t="s">
        <v>65</v>
      </c>
      <c r="H94" s="91" t="s">
        <v>390</v>
      </c>
      <c r="I94" s="91" t="s">
        <v>352</v>
      </c>
      <c r="J94" s="92" t="s">
        <v>509</v>
      </c>
      <c r="K94" s="93">
        <v>0</v>
      </c>
      <c r="L94" s="85">
        <f>(L12+L64)/97.5*100-(L12+L64)-0.21</f>
        <v>127207</v>
      </c>
      <c r="M94" s="85">
        <f>(M12+M64)/95*100-(M12+M64)-0.26</f>
        <v>250083</v>
      </c>
      <c r="P94" s="93"/>
    </row>
    <row r="95" spans="1:16" ht="25.5" x14ac:dyDescent="0.25">
      <c r="A95" s="81"/>
      <c r="B95" s="82" t="s">
        <v>5</v>
      </c>
      <c r="C95" s="91" t="s">
        <v>55</v>
      </c>
      <c r="D95" s="91" t="s">
        <v>458</v>
      </c>
      <c r="E95" s="91" t="s">
        <v>417</v>
      </c>
      <c r="F95" s="91" t="s">
        <v>398</v>
      </c>
      <c r="G95" s="91" t="s">
        <v>65</v>
      </c>
      <c r="H95" s="91" t="s">
        <v>543</v>
      </c>
      <c r="I95" s="91" t="s">
        <v>352</v>
      </c>
      <c r="J95" s="92" t="s">
        <v>656</v>
      </c>
      <c r="K95" s="93">
        <v>21876</v>
      </c>
      <c r="L95" s="85">
        <v>0</v>
      </c>
      <c r="M95" s="85">
        <v>0</v>
      </c>
      <c r="P95" s="93"/>
    </row>
    <row r="96" spans="1:16" x14ac:dyDescent="0.25">
      <c r="A96" s="81"/>
      <c r="B96" s="91"/>
      <c r="C96" s="91"/>
      <c r="D96" s="91"/>
      <c r="E96" s="91"/>
      <c r="F96" s="91"/>
      <c r="G96" s="91"/>
      <c r="H96" s="91"/>
      <c r="I96" s="91"/>
      <c r="J96" s="92" t="s">
        <v>459</v>
      </c>
      <c r="K96" s="93">
        <f>K62+K12</f>
        <v>15626668</v>
      </c>
      <c r="L96" s="93">
        <f>L62+L12</f>
        <v>59956859</v>
      </c>
      <c r="M96" s="93">
        <f>M62+M12</f>
        <v>8116379</v>
      </c>
      <c r="P96" s="93" t="e">
        <f>P62+P12+7482.52</f>
        <v>#REF!</v>
      </c>
    </row>
    <row r="98" spans="11:16" x14ac:dyDescent="0.25">
      <c r="K98" s="162"/>
      <c r="P98" s="162"/>
    </row>
    <row r="99" spans="11:16" x14ac:dyDescent="0.25">
      <c r="K99" s="162"/>
      <c r="P99" s="162"/>
    </row>
    <row r="101" spans="11:16" x14ac:dyDescent="0.25">
      <c r="P101" s="162"/>
    </row>
  </sheetData>
  <mergeCells count="14">
    <mergeCell ref="P8:P10"/>
    <mergeCell ref="H9:I9"/>
    <mergeCell ref="A1:M1"/>
    <mergeCell ref="A2:M2"/>
    <mergeCell ref="L3:M3"/>
    <mergeCell ref="A5:M5"/>
    <mergeCell ref="A8:A10"/>
    <mergeCell ref="B8:I8"/>
    <mergeCell ref="J8:J10"/>
    <mergeCell ref="K8:K10"/>
    <mergeCell ref="L8:L10"/>
    <mergeCell ref="M8:M10"/>
    <mergeCell ref="B9:B10"/>
    <mergeCell ref="C9:G9"/>
  </mergeCells>
  <pageMargins left="0.70866141732283472" right="0.70866141732283472" top="0.74803149606299213" bottom="0.74803149606299213" header="0.31496062992125984" footer="0.31496062992125984"/>
  <pageSetup paperSize="9" scale="6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
  <sheetViews>
    <sheetView zoomScale="62" zoomScaleNormal="62" workbookViewId="0">
      <selection activeCell="P18" sqref="P18"/>
    </sheetView>
  </sheetViews>
  <sheetFormatPr defaultRowHeight="18.75" x14ac:dyDescent="0.3"/>
  <cols>
    <col min="1" max="1" width="11.42578125" style="20" customWidth="1"/>
    <col min="2" max="2" width="92.42578125" style="20" customWidth="1"/>
    <col min="3" max="3" width="15.7109375" style="24" customWidth="1"/>
    <col min="4" max="4" width="24.85546875" style="20" customWidth="1"/>
    <col min="5" max="5" width="25" style="20" customWidth="1"/>
    <col min="6" max="6" width="25.140625" style="20" customWidth="1"/>
    <col min="7" max="256" width="9.140625" style="20"/>
    <col min="257" max="257" width="11.42578125" style="20" customWidth="1"/>
    <col min="258" max="258" width="92.42578125" style="20" customWidth="1"/>
    <col min="259" max="259" width="15.7109375" style="20" customWidth="1"/>
    <col min="260" max="260" width="24.85546875" style="20" customWidth="1"/>
    <col min="261" max="261" width="25" style="20" customWidth="1"/>
    <col min="262" max="262" width="25.140625" style="20" customWidth="1"/>
    <col min="263" max="512" width="9.140625" style="20"/>
    <col min="513" max="513" width="11.42578125" style="20" customWidth="1"/>
    <col min="514" max="514" width="92.42578125" style="20" customWidth="1"/>
    <col min="515" max="515" width="15.7109375" style="20" customWidth="1"/>
    <col min="516" max="516" width="24.85546875" style="20" customWidth="1"/>
    <col min="517" max="517" width="25" style="20" customWidth="1"/>
    <col min="518" max="518" width="25.140625" style="20" customWidth="1"/>
    <col min="519" max="768" width="9.140625" style="20"/>
    <col min="769" max="769" width="11.42578125" style="20" customWidth="1"/>
    <col min="770" max="770" width="92.42578125" style="20" customWidth="1"/>
    <col min="771" max="771" width="15.7109375" style="20" customWidth="1"/>
    <col min="772" max="772" width="24.85546875" style="20" customWidth="1"/>
    <col min="773" max="773" width="25" style="20" customWidth="1"/>
    <col min="774" max="774" width="25.140625" style="20" customWidth="1"/>
    <col min="775" max="1024" width="9.140625" style="20"/>
    <col min="1025" max="1025" width="11.42578125" style="20" customWidth="1"/>
    <col min="1026" max="1026" width="92.42578125" style="20" customWidth="1"/>
    <col min="1027" max="1027" width="15.7109375" style="20" customWidth="1"/>
    <col min="1028" max="1028" width="24.85546875" style="20" customWidth="1"/>
    <col min="1029" max="1029" width="25" style="20" customWidth="1"/>
    <col min="1030" max="1030" width="25.140625" style="20" customWidth="1"/>
    <col min="1031" max="1280" width="9.140625" style="20"/>
    <col min="1281" max="1281" width="11.42578125" style="20" customWidth="1"/>
    <col min="1282" max="1282" width="92.42578125" style="20" customWidth="1"/>
    <col min="1283" max="1283" width="15.7109375" style="20" customWidth="1"/>
    <col min="1284" max="1284" width="24.85546875" style="20" customWidth="1"/>
    <col min="1285" max="1285" width="25" style="20" customWidth="1"/>
    <col min="1286" max="1286" width="25.140625" style="20" customWidth="1"/>
    <col min="1287" max="1536" width="9.140625" style="20"/>
    <col min="1537" max="1537" width="11.42578125" style="20" customWidth="1"/>
    <col min="1538" max="1538" width="92.42578125" style="20" customWidth="1"/>
    <col min="1539" max="1539" width="15.7109375" style="20" customWidth="1"/>
    <col min="1540" max="1540" width="24.85546875" style="20" customWidth="1"/>
    <col min="1541" max="1541" width="25" style="20" customWidth="1"/>
    <col min="1542" max="1542" width="25.140625" style="20" customWidth="1"/>
    <col min="1543" max="1792" width="9.140625" style="20"/>
    <col min="1793" max="1793" width="11.42578125" style="20" customWidth="1"/>
    <col min="1794" max="1794" width="92.42578125" style="20" customWidth="1"/>
    <col min="1795" max="1795" width="15.7109375" style="20" customWidth="1"/>
    <col min="1796" max="1796" width="24.85546875" style="20" customWidth="1"/>
    <col min="1797" max="1797" width="25" style="20" customWidth="1"/>
    <col min="1798" max="1798" width="25.140625" style="20" customWidth="1"/>
    <col min="1799" max="2048" width="9.140625" style="20"/>
    <col min="2049" max="2049" width="11.42578125" style="20" customWidth="1"/>
    <col min="2050" max="2050" width="92.42578125" style="20" customWidth="1"/>
    <col min="2051" max="2051" width="15.7109375" style="20" customWidth="1"/>
    <col min="2052" max="2052" width="24.85546875" style="20" customWidth="1"/>
    <col min="2053" max="2053" width="25" style="20" customWidth="1"/>
    <col min="2054" max="2054" width="25.140625" style="20" customWidth="1"/>
    <col min="2055" max="2304" width="9.140625" style="20"/>
    <col min="2305" max="2305" width="11.42578125" style="20" customWidth="1"/>
    <col min="2306" max="2306" width="92.42578125" style="20" customWidth="1"/>
    <col min="2307" max="2307" width="15.7109375" style="20" customWidth="1"/>
    <col min="2308" max="2308" width="24.85546875" style="20" customWidth="1"/>
    <col min="2309" max="2309" width="25" style="20" customWidth="1"/>
    <col min="2310" max="2310" width="25.140625" style="20" customWidth="1"/>
    <col min="2311" max="2560" width="9.140625" style="20"/>
    <col min="2561" max="2561" width="11.42578125" style="20" customWidth="1"/>
    <col min="2562" max="2562" width="92.42578125" style="20" customWidth="1"/>
    <col min="2563" max="2563" width="15.7109375" style="20" customWidth="1"/>
    <col min="2564" max="2564" width="24.85546875" style="20" customWidth="1"/>
    <col min="2565" max="2565" width="25" style="20" customWidth="1"/>
    <col min="2566" max="2566" width="25.140625" style="20" customWidth="1"/>
    <col min="2567" max="2816" width="9.140625" style="20"/>
    <col min="2817" max="2817" width="11.42578125" style="20" customWidth="1"/>
    <col min="2818" max="2818" width="92.42578125" style="20" customWidth="1"/>
    <col min="2819" max="2819" width="15.7109375" style="20" customWidth="1"/>
    <col min="2820" max="2820" width="24.85546875" style="20" customWidth="1"/>
    <col min="2821" max="2821" width="25" style="20" customWidth="1"/>
    <col min="2822" max="2822" width="25.140625" style="20" customWidth="1"/>
    <col min="2823" max="3072" width="9.140625" style="20"/>
    <col min="3073" max="3073" width="11.42578125" style="20" customWidth="1"/>
    <col min="3074" max="3074" width="92.42578125" style="20" customWidth="1"/>
    <col min="3075" max="3075" width="15.7109375" style="20" customWidth="1"/>
    <col min="3076" max="3076" width="24.85546875" style="20" customWidth="1"/>
    <col min="3077" max="3077" width="25" style="20" customWidth="1"/>
    <col min="3078" max="3078" width="25.140625" style="20" customWidth="1"/>
    <col min="3079" max="3328" width="9.140625" style="20"/>
    <col min="3329" max="3329" width="11.42578125" style="20" customWidth="1"/>
    <col min="3330" max="3330" width="92.42578125" style="20" customWidth="1"/>
    <col min="3331" max="3331" width="15.7109375" style="20" customWidth="1"/>
    <col min="3332" max="3332" width="24.85546875" style="20" customWidth="1"/>
    <col min="3333" max="3333" width="25" style="20" customWidth="1"/>
    <col min="3334" max="3334" width="25.140625" style="20" customWidth="1"/>
    <col min="3335" max="3584" width="9.140625" style="20"/>
    <col min="3585" max="3585" width="11.42578125" style="20" customWidth="1"/>
    <col min="3586" max="3586" width="92.42578125" style="20" customWidth="1"/>
    <col min="3587" max="3587" width="15.7109375" style="20" customWidth="1"/>
    <col min="3588" max="3588" width="24.85546875" style="20" customWidth="1"/>
    <col min="3589" max="3589" width="25" style="20" customWidth="1"/>
    <col min="3590" max="3590" width="25.140625" style="20" customWidth="1"/>
    <col min="3591" max="3840" width="9.140625" style="20"/>
    <col min="3841" max="3841" width="11.42578125" style="20" customWidth="1"/>
    <col min="3842" max="3842" width="92.42578125" style="20" customWidth="1"/>
    <col min="3843" max="3843" width="15.7109375" style="20" customWidth="1"/>
    <col min="3844" max="3844" width="24.85546875" style="20" customWidth="1"/>
    <col min="3845" max="3845" width="25" style="20" customWidth="1"/>
    <col min="3846" max="3846" width="25.140625" style="20" customWidth="1"/>
    <col min="3847" max="4096" width="9.140625" style="20"/>
    <col min="4097" max="4097" width="11.42578125" style="20" customWidth="1"/>
    <col min="4098" max="4098" width="92.42578125" style="20" customWidth="1"/>
    <col min="4099" max="4099" width="15.7109375" style="20" customWidth="1"/>
    <col min="4100" max="4100" width="24.85546875" style="20" customWidth="1"/>
    <col min="4101" max="4101" width="25" style="20" customWidth="1"/>
    <col min="4102" max="4102" width="25.140625" style="20" customWidth="1"/>
    <col min="4103" max="4352" width="9.140625" style="20"/>
    <col min="4353" max="4353" width="11.42578125" style="20" customWidth="1"/>
    <col min="4354" max="4354" width="92.42578125" style="20" customWidth="1"/>
    <col min="4355" max="4355" width="15.7109375" style="20" customWidth="1"/>
    <col min="4356" max="4356" width="24.85546875" style="20" customWidth="1"/>
    <col min="4357" max="4357" width="25" style="20" customWidth="1"/>
    <col min="4358" max="4358" width="25.140625" style="20" customWidth="1"/>
    <col min="4359" max="4608" width="9.140625" style="20"/>
    <col min="4609" max="4609" width="11.42578125" style="20" customWidth="1"/>
    <col min="4610" max="4610" width="92.42578125" style="20" customWidth="1"/>
    <col min="4611" max="4611" width="15.7109375" style="20" customWidth="1"/>
    <col min="4612" max="4612" width="24.85546875" style="20" customWidth="1"/>
    <col min="4613" max="4613" width="25" style="20" customWidth="1"/>
    <col min="4614" max="4614" width="25.140625" style="20" customWidth="1"/>
    <col min="4615" max="4864" width="9.140625" style="20"/>
    <col min="4865" max="4865" width="11.42578125" style="20" customWidth="1"/>
    <col min="4866" max="4866" width="92.42578125" style="20" customWidth="1"/>
    <col min="4867" max="4867" width="15.7109375" style="20" customWidth="1"/>
    <col min="4868" max="4868" width="24.85546875" style="20" customWidth="1"/>
    <col min="4869" max="4869" width="25" style="20" customWidth="1"/>
    <col min="4870" max="4870" width="25.140625" style="20" customWidth="1"/>
    <col min="4871" max="5120" width="9.140625" style="20"/>
    <col min="5121" max="5121" width="11.42578125" style="20" customWidth="1"/>
    <col min="5122" max="5122" width="92.42578125" style="20" customWidth="1"/>
    <col min="5123" max="5123" width="15.7109375" style="20" customWidth="1"/>
    <col min="5124" max="5124" width="24.85546875" style="20" customWidth="1"/>
    <col min="5125" max="5125" width="25" style="20" customWidth="1"/>
    <col min="5126" max="5126" width="25.140625" style="20" customWidth="1"/>
    <col min="5127" max="5376" width="9.140625" style="20"/>
    <col min="5377" max="5377" width="11.42578125" style="20" customWidth="1"/>
    <col min="5378" max="5378" width="92.42578125" style="20" customWidth="1"/>
    <col min="5379" max="5379" width="15.7109375" style="20" customWidth="1"/>
    <col min="5380" max="5380" width="24.85546875" style="20" customWidth="1"/>
    <col min="5381" max="5381" width="25" style="20" customWidth="1"/>
    <col min="5382" max="5382" width="25.140625" style="20" customWidth="1"/>
    <col min="5383" max="5632" width="9.140625" style="20"/>
    <col min="5633" max="5633" width="11.42578125" style="20" customWidth="1"/>
    <col min="5634" max="5634" width="92.42578125" style="20" customWidth="1"/>
    <col min="5635" max="5635" width="15.7109375" style="20" customWidth="1"/>
    <col min="5636" max="5636" width="24.85546875" style="20" customWidth="1"/>
    <col min="5637" max="5637" width="25" style="20" customWidth="1"/>
    <col min="5638" max="5638" width="25.140625" style="20" customWidth="1"/>
    <col min="5639" max="5888" width="9.140625" style="20"/>
    <col min="5889" max="5889" width="11.42578125" style="20" customWidth="1"/>
    <col min="5890" max="5890" width="92.42578125" style="20" customWidth="1"/>
    <col min="5891" max="5891" width="15.7109375" style="20" customWidth="1"/>
    <col min="5892" max="5892" width="24.85546875" style="20" customWidth="1"/>
    <col min="5893" max="5893" width="25" style="20" customWidth="1"/>
    <col min="5894" max="5894" width="25.140625" style="20" customWidth="1"/>
    <col min="5895" max="6144" width="9.140625" style="20"/>
    <col min="6145" max="6145" width="11.42578125" style="20" customWidth="1"/>
    <col min="6146" max="6146" width="92.42578125" style="20" customWidth="1"/>
    <col min="6147" max="6147" width="15.7109375" style="20" customWidth="1"/>
    <col min="6148" max="6148" width="24.85546875" style="20" customWidth="1"/>
    <col min="6149" max="6149" width="25" style="20" customWidth="1"/>
    <col min="6150" max="6150" width="25.140625" style="20" customWidth="1"/>
    <col min="6151" max="6400" width="9.140625" style="20"/>
    <col min="6401" max="6401" width="11.42578125" style="20" customWidth="1"/>
    <col min="6402" max="6402" width="92.42578125" style="20" customWidth="1"/>
    <col min="6403" max="6403" width="15.7109375" style="20" customWidth="1"/>
    <col min="6404" max="6404" width="24.85546875" style="20" customWidth="1"/>
    <col min="6405" max="6405" width="25" style="20" customWidth="1"/>
    <col min="6406" max="6406" width="25.140625" style="20" customWidth="1"/>
    <col min="6407" max="6656" width="9.140625" style="20"/>
    <col min="6657" max="6657" width="11.42578125" style="20" customWidth="1"/>
    <col min="6658" max="6658" width="92.42578125" style="20" customWidth="1"/>
    <col min="6659" max="6659" width="15.7109375" style="20" customWidth="1"/>
    <col min="6660" max="6660" width="24.85546875" style="20" customWidth="1"/>
    <col min="6661" max="6661" width="25" style="20" customWidth="1"/>
    <col min="6662" max="6662" width="25.140625" style="20" customWidth="1"/>
    <col min="6663" max="6912" width="9.140625" style="20"/>
    <col min="6913" max="6913" width="11.42578125" style="20" customWidth="1"/>
    <col min="6914" max="6914" width="92.42578125" style="20" customWidth="1"/>
    <col min="6915" max="6915" width="15.7109375" style="20" customWidth="1"/>
    <col min="6916" max="6916" width="24.85546875" style="20" customWidth="1"/>
    <col min="6917" max="6917" width="25" style="20" customWidth="1"/>
    <col min="6918" max="6918" width="25.140625" style="20" customWidth="1"/>
    <col min="6919" max="7168" width="9.140625" style="20"/>
    <col min="7169" max="7169" width="11.42578125" style="20" customWidth="1"/>
    <col min="7170" max="7170" width="92.42578125" style="20" customWidth="1"/>
    <col min="7171" max="7171" width="15.7109375" style="20" customWidth="1"/>
    <col min="7172" max="7172" width="24.85546875" style="20" customWidth="1"/>
    <col min="7173" max="7173" width="25" style="20" customWidth="1"/>
    <col min="7174" max="7174" width="25.140625" style="20" customWidth="1"/>
    <col min="7175" max="7424" width="9.140625" style="20"/>
    <col min="7425" max="7425" width="11.42578125" style="20" customWidth="1"/>
    <col min="7426" max="7426" width="92.42578125" style="20" customWidth="1"/>
    <col min="7427" max="7427" width="15.7109375" style="20" customWidth="1"/>
    <col min="7428" max="7428" width="24.85546875" style="20" customWidth="1"/>
    <col min="7429" max="7429" width="25" style="20" customWidth="1"/>
    <col min="7430" max="7430" width="25.140625" style="20" customWidth="1"/>
    <col min="7431" max="7680" width="9.140625" style="20"/>
    <col min="7681" max="7681" width="11.42578125" style="20" customWidth="1"/>
    <col min="7682" max="7682" width="92.42578125" style="20" customWidth="1"/>
    <col min="7683" max="7683" width="15.7109375" style="20" customWidth="1"/>
    <col min="7684" max="7684" width="24.85546875" style="20" customWidth="1"/>
    <col min="7685" max="7685" width="25" style="20" customWidth="1"/>
    <col min="7686" max="7686" width="25.140625" style="20" customWidth="1"/>
    <col min="7687" max="7936" width="9.140625" style="20"/>
    <col min="7937" max="7937" width="11.42578125" style="20" customWidth="1"/>
    <col min="7938" max="7938" width="92.42578125" style="20" customWidth="1"/>
    <col min="7939" max="7939" width="15.7109375" style="20" customWidth="1"/>
    <col min="7940" max="7940" width="24.85546875" style="20" customWidth="1"/>
    <col min="7941" max="7941" width="25" style="20" customWidth="1"/>
    <col min="7942" max="7942" width="25.140625" style="20" customWidth="1"/>
    <col min="7943" max="8192" width="9.140625" style="20"/>
    <col min="8193" max="8193" width="11.42578125" style="20" customWidth="1"/>
    <col min="8194" max="8194" width="92.42578125" style="20" customWidth="1"/>
    <col min="8195" max="8195" width="15.7109375" style="20" customWidth="1"/>
    <col min="8196" max="8196" width="24.85546875" style="20" customWidth="1"/>
    <col min="8197" max="8197" width="25" style="20" customWidth="1"/>
    <col min="8198" max="8198" width="25.140625" style="20" customWidth="1"/>
    <col min="8199" max="8448" width="9.140625" style="20"/>
    <col min="8449" max="8449" width="11.42578125" style="20" customWidth="1"/>
    <col min="8450" max="8450" width="92.42578125" style="20" customWidth="1"/>
    <col min="8451" max="8451" width="15.7109375" style="20" customWidth="1"/>
    <col min="8452" max="8452" width="24.85546875" style="20" customWidth="1"/>
    <col min="8453" max="8453" width="25" style="20" customWidth="1"/>
    <col min="8454" max="8454" width="25.140625" style="20" customWidth="1"/>
    <col min="8455" max="8704" width="9.140625" style="20"/>
    <col min="8705" max="8705" width="11.42578125" style="20" customWidth="1"/>
    <col min="8706" max="8706" width="92.42578125" style="20" customWidth="1"/>
    <col min="8707" max="8707" width="15.7109375" style="20" customWidth="1"/>
    <col min="8708" max="8708" width="24.85546875" style="20" customWidth="1"/>
    <col min="8709" max="8709" width="25" style="20" customWidth="1"/>
    <col min="8710" max="8710" width="25.140625" style="20" customWidth="1"/>
    <col min="8711" max="8960" width="9.140625" style="20"/>
    <col min="8961" max="8961" width="11.42578125" style="20" customWidth="1"/>
    <col min="8962" max="8962" width="92.42578125" style="20" customWidth="1"/>
    <col min="8963" max="8963" width="15.7109375" style="20" customWidth="1"/>
    <col min="8964" max="8964" width="24.85546875" style="20" customWidth="1"/>
    <col min="8965" max="8965" width="25" style="20" customWidth="1"/>
    <col min="8966" max="8966" width="25.140625" style="20" customWidth="1"/>
    <col min="8967" max="9216" width="9.140625" style="20"/>
    <col min="9217" max="9217" width="11.42578125" style="20" customWidth="1"/>
    <col min="9218" max="9218" width="92.42578125" style="20" customWidth="1"/>
    <col min="9219" max="9219" width="15.7109375" style="20" customWidth="1"/>
    <col min="9220" max="9220" width="24.85546875" style="20" customWidth="1"/>
    <col min="9221" max="9221" width="25" style="20" customWidth="1"/>
    <col min="9222" max="9222" width="25.140625" style="20" customWidth="1"/>
    <col min="9223" max="9472" width="9.140625" style="20"/>
    <col min="9473" max="9473" width="11.42578125" style="20" customWidth="1"/>
    <col min="9474" max="9474" width="92.42578125" style="20" customWidth="1"/>
    <col min="9475" max="9475" width="15.7109375" style="20" customWidth="1"/>
    <col min="9476" max="9476" width="24.85546875" style="20" customWidth="1"/>
    <col min="9477" max="9477" width="25" style="20" customWidth="1"/>
    <col min="9478" max="9478" width="25.140625" style="20" customWidth="1"/>
    <col min="9479" max="9728" width="9.140625" style="20"/>
    <col min="9729" max="9729" width="11.42578125" style="20" customWidth="1"/>
    <col min="9730" max="9730" width="92.42578125" style="20" customWidth="1"/>
    <col min="9731" max="9731" width="15.7109375" style="20" customWidth="1"/>
    <col min="9732" max="9732" width="24.85546875" style="20" customWidth="1"/>
    <col min="9733" max="9733" width="25" style="20" customWidth="1"/>
    <col min="9734" max="9734" width="25.140625" style="20" customWidth="1"/>
    <col min="9735" max="9984" width="9.140625" style="20"/>
    <col min="9985" max="9985" width="11.42578125" style="20" customWidth="1"/>
    <col min="9986" max="9986" width="92.42578125" style="20" customWidth="1"/>
    <col min="9987" max="9987" width="15.7109375" style="20" customWidth="1"/>
    <col min="9988" max="9988" width="24.85546875" style="20" customWidth="1"/>
    <col min="9989" max="9989" width="25" style="20" customWidth="1"/>
    <col min="9990" max="9990" width="25.140625" style="20" customWidth="1"/>
    <col min="9991" max="10240" width="9.140625" style="20"/>
    <col min="10241" max="10241" width="11.42578125" style="20" customWidth="1"/>
    <col min="10242" max="10242" width="92.42578125" style="20" customWidth="1"/>
    <col min="10243" max="10243" width="15.7109375" style="20" customWidth="1"/>
    <col min="10244" max="10244" width="24.85546875" style="20" customWidth="1"/>
    <col min="10245" max="10245" width="25" style="20" customWidth="1"/>
    <col min="10246" max="10246" width="25.140625" style="20" customWidth="1"/>
    <col min="10247" max="10496" width="9.140625" style="20"/>
    <col min="10497" max="10497" width="11.42578125" style="20" customWidth="1"/>
    <col min="10498" max="10498" width="92.42578125" style="20" customWidth="1"/>
    <col min="10499" max="10499" width="15.7109375" style="20" customWidth="1"/>
    <col min="10500" max="10500" width="24.85546875" style="20" customWidth="1"/>
    <col min="10501" max="10501" width="25" style="20" customWidth="1"/>
    <col min="10502" max="10502" width="25.140625" style="20" customWidth="1"/>
    <col min="10503" max="10752" width="9.140625" style="20"/>
    <col min="10753" max="10753" width="11.42578125" style="20" customWidth="1"/>
    <col min="10754" max="10754" width="92.42578125" style="20" customWidth="1"/>
    <col min="10755" max="10755" width="15.7109375" style="20" customWidth="1"/>
    <col min="10756" max="10756" width="24.85546875" style="20" customWidth="1"/>
    <col min="10757" max="10757" width="25" style="20" customWidth="1"/>
    <col min="10758" max="10758" width="25.140625" style="20" customWidth="1"/>
    <col min="10759" max="11008" width="9.140625" style="20"/>
    <col min="11009" max="11009" width="11.42578125" style="20" customWidth="1"/>
    <col min="11010" max="11010" width="92.42578125" style="20" customWidth="1"/>
    <col min="11011" max="11011" width="15.7109375" style="20" customWidth="1"/>
    <col min="11012" max="11012" width="24.85546875" style="20" customWidth="1"/>
    <col min="11013" max="11013" width="25" style="20" customWidth="1"/>
    <col min="11014" max="11014" width="25.140625" style="20" customWidth="1"/>
    <col min="11015" max="11264" width="9.140625" style="20"/>
    <col min="11265" max="11265" width="11.42578125" style="20" customWidth="1"/>
    <col min="11266" max="11266" width="92.42578125" style="20" customWidth="1"/>
    <col min="11267" max="11267" width="15.7109375" style="20" customWidth="1"/>
    <col min="11268" max="11268" width="24.85546875" style="20" customWidth="1"/>
    <col min="11269" max="11269" width="25" style="20" customWidth="1"/>
    <col min="11270" max="11270" width="25.140625" style="20" customWidth="1"/>
    <col min="11271" max="11520" width="9.140625" style="20"/>
    <col min="11521" max="11521" width="11.42578125" style="20" customWidth="1"/>
    <col min="11522" max="11522" width="92.42578125" style="20" customWidth="1"/>
    <col min="11523" max="11523" width="15.7109375" style="20" customWidth="1"/>
    <col min="11524" max="11524" width="24.85546875" style="20" customWidth="1"/>
    <col min="11525" max="11525" width="25" style="20" customWidth="1"/>
    <col min="11526" max="11526" width="25.140625" style="20" customWidth="1"/>
    <col min="11527" max="11776" width="9.140625" style="20"/>
    <col min="11777" max="11777" width="11.42578125" style="20" customWidth="1"/>
    <col min="11778" max="11778" width="92.42578125" style="20" customWidth="1"/>
    <col min="11779" max="11779" width="15.7109375" style="20" customWidth="1"/>
    <col min="11780" max="11780" width="24.85546875" style="20" customWidth="1"/>
    <col min="11781" max="11781" width="25" style="20" customWidth="1"/>
    <col min="11782" max="11782" width="25.140625" style="20" customWidth="1"/>
    <col min="11783" max="12032" width="9.140625" style="20"/>
    <col min="12033" max="12033" width="11.42578125" style="20" customWidth="1"/>
    <col min="12034" max="12034" width="92.42578125" style="20" customWidth="1"/>
    <col min="12035" max="12035" width="15.7109375" style="20" customWidth="1"/>
    <col min="12036" max="12036" width="24.85546875" style="20" customWidth="1"/>
    <col min="12037" max="12037" width="25" style="20" customWidth="1"/>
    <col min="12038" max="12038" width="25.140625" style="20" customWidth="1"/>
    <col min="12039" max="12288" width="9.140625" style="20"/>
    <col min="12289" max="12289" width="11.42578125" style="20" customWidth="1"/>
    <col min="12290" max="12290" width="92.42578125" style="20" customWidth="1"/>
    <col min="12291" max="12291" width="15.7109375" style="20" customWidth="1"/>
    <col min="12292" max="12292" width="24.85546875" style="20" customWidth="1"/>
    <col min="12293" max="12293" width="25" style="20" customWidth="1"/>
    <col min="12294" max="12294" width="25.140625" style="20" customWidth="1"/>
    <col min="12295" max="12544" width="9.140625" style="20"/>
    <col min="12545" max="12545" width="11.42578125" style="20" customWidth="1"/>
    <col min="12546" max="12546" width="92.42578125" style="20" customWidth="1"/>
    <col min="12547" max="12547" width="15.7109375" style="20" customWidth="1"/>
    <col min="12548" max="12548" width="24.85546875" style="20" customWidth="1"/>
    <col min="12549" max="12549" width="25" style="20" customWidth="1"/>
    <col min="12550" max="12550" width="25.140625" style="20" customWidth="1"/>
    <col min="12551" max="12800" width="9.140625" style="20"/>
    <col min="12801" max="12801" width="11.42578125" style="20" customWidth="1"/>
    <col min="12802" max="12802" width="92.42578125" style="20" customWidth="1"/>
    <col min="12803" max="12803" width="15.7109375" style="20" customWidth="1"/>
    <col min="12804" max="12804" width="24.85546875" style="20" customWidth="1"/>
    <col min="12805" max="12805" width="25" style="20" customWidth="1"/>
    <col min="12806" max="12806" width="25.140625" style="20" customWidth="1"/>
    <col min="12807" max="13056" width="9.140625" style="20"/>
    <col min="13057" max="13057" width="11.42578125" style="20" customWidth="1"/>
    <col min="13058" max="13058" width="92.42578125" style="20" customWidth="1"/>
    <col min="13059" max="13059" width="15.7109375" style="20" customWidth="1"/>
    <col min="13060" max="13060" width="24.85546875" style="20" customWidth="1"/>
    <col min="13061" max="13061" width="25" style="20" customWidth="1"/>
    <col min="13062" max="13062" width="25.140625" style="20" customWidth="1"/>
    <col min="13063" max="13312" width="9.140625" style="20"/>
    <col min="13313" max="13313" width="11.42578125" style="20" customWidth="1"/>
    <col min="13314" max="13314" width="92.42578125" style="20" customWidth="1"/>
    <col min="13315" max="13315" width="15.7109375" style="20" customWidth="1"/>
    <col min="13316" max="13316" width="24.85546875" style="20" customWidth="1"/>
    <col min="13317" max="13317" width="25" style="20" customWidth="1"/>
    <col min="13318" max="13318" width="25.140625" style="20" customWidth="1"/>
    <col min="13319" max="13568" width="9.140625" style="20"/>
    <col min="13569" max="13569" width="11.42578125" style="20" customWidth="1"/>
    <col min="13570" max="13570" width="92.42578125" style="20" customWidth="1"/>
    <col min="13571" max="13571" width="15.7109375" style="20" customWidth="1"/>
    <col min="13572" max="13572" width="24.85546875" style="20" customWidth="1"/>
    <col min="13573" max="13573" width="25" style="20" customWidth="1"/>
    <col min="13574" max="13574" width="25.140625" style="20" customWidth="1"/>
    <col min="13575" max="13824" width="9.140625" style="20"/>
    <col min="13825" max="13825" width="11.42578125" style="20" customWidth="1"/>
    <col min="13826" max="13826" width="92.42578125" style="20" customWidth="1"/>
    <col min="13827" max="13827" width="15.7109375" style="20" customWidth="1"/>
    <col min="13828" max="13828" width="24.85546875" style="20" customWidth="1"/>
    <col min="13829" max="13829" width="25" style="20" customWidth="1"/>
    <col min="13830" max="13830" width="25.140625" style="20" customWidth="1"/>
    <col min="13831" max="14080" width="9.140625" style="20"/>
    <col min="14081" max="14081" width="11.42578125" style="20" customWidth="1"/>
    <col min="14082" max="14082" width="92.42578125" style="20" customWidth="1"/>
    <col min="14083" max="14083" width="15.7109375" style="20" customWidth="1"/>
    <col min="14084" max="14084" width="24.85546875" style="20" customWidth="1"/>
    <col min="14085" max="14085" width="25" style="20" customWidth="1"/>
    <col min="14086" max="14086" width="25.140625" style="20" customWidth="1"/>
    <col min="14087" max="14336" width="9.140625" style="20"/>
    <col min="14337" max="14337" width="11.42578125" style="20" customWidth="1"/>
    <col min="14338" max="14338" width="92.42578125" style="20" customWidth="1"/>
    <col min="14339" max="14339" width="15.7109375" style="20" customWidth="1"/>
    <col min="14340" max="14340" width="24.85546875" style="20" customWidth="1"/>
    <col min="14341" max="14341" width="25" style="20" customWidth="1"/>
    <col min="14342" max="14342" width="25.140625" style="20" customWidth="1"/>
    <col min="14343" max="14592" width="9.140625" style="20"/>
    <col min="14593" max="14593" width="11.42578125" style="20" customWidth="1"/>
    <col min="14594" max="14594" width="92.42578125" style="20" customWidth="1"/>
    <col min="14595" max="14595" width="15.7109375" style="20" customWidth="1"/>
    <col min="14596" max="14596" width="24.85546875" style="20" customWidth="1"/>
    <col min="14597" max="14597" width="25" style="20" customWidth="1"/>
    <col min="14598" max="14598" width="25.140625" style="20" customWidth="1"/>
    <col min="14599" max="14848" width="9.140625" style="20"/>
    <col min="14849" max="14849" width="11.42578125" style="20" customWidth="1"/>
    <col min="14850" max="14850" width="92.42578125" style="20" customWidth="1"/>
    <col min="14851" max="14851" width="15.7109375" style="20" customWidth="1"/>
    <col min="14852" max="14852" width="24.85546875" style="20" customWidth="1"/>
    <col min="14853" max="14853" width="25" style="20" customWidth="1"/>
    <col min="14854" max="14854" width="25.140625" style="20" customWidth="1"/>
    <col min="14855" max="15104" width="9.140625" style="20"/>
    <col min="15105" max="15105" width="11.42578125" style="20" customWidth="1"/>
    <col min="15106" max="15106" width="92.42578125" style="20" customWidth="1"/>
    <col min="15107" max="15107" width="15.7109375" style="20" customWidth="1"/>
    <col min="15108" max="15108" width="24.85546875" style="20" customWidth="1"/>
    <col min="15109" max="15109" width="25" style="20" customWidth="1"/>
    <col min="15110" max="15110" width="25.140625" style="20" customWidth="1"/>
    <col min="15111" max="15360" width="9.140625" style="20"/>
    <col min="15361" max="15361" width="11.42578125" style="20" customWidth="1"/>
    <col min="15362" max="15362" width="92.42578125" style="20" customWidth="1"/>
    <col min="15363" max="15363" width="15.7109375" style="20" customWidth="1"/>
    <col min="15364" max="15364" width="24.85546875" style="20" customWidth="1"/>
    <col min="15365" max="15365" width="25" style="20" customWidth="1"/>
    <col min="15366" max="15366" width="25.140625" style="20" customWidth="1"/>
    <col min="15367" max="15616" width="9.140625" style="20"/>
    <col min="15617" max="15617" width="11.42578125" style="20" customWidth="1"/>
    <col min="15618" max="15618" width="92.42578125" style="20" customWidth="1"/>
    <col min="15619" max="15619" width="15.7109375" style="20" customWidth="1"/>
    <col min="15620" max="15620" width="24.85546875" style="20" customWidth="1"/>
    <col min="15621" max="15621" width="25" style="20" customWidth="1"/>
    <col min="15622" max="15622" width="25.140625" style="20" customWidth="1"/>
    <col min="15623" max="15872" width="9.140625" style="20"/>
    <col min="15873" max="15873" width="11.42578125" style="20" customWidth="1"/>
    <col min="15874" max="15874" width="92.42578125" style="20" customWidth="1"/>
    <col min="15875" max="15875" width="15.7109375" style="20" customWidth="1"/>
    <col min="15876" max="15876" width="24.85546875" style="20" customWidth="1"/>
    <col min="15877" max="15877" width="25" style="20" customWidth="1"/>
    <col min="15878" max="15878" width="25.140625" style="20" customWidth="1"/>
    <col min="15879" max="16128" width="9.140625" style="20"/>
    <col min="16129" max="16129" width="11.42578125" style="20" customWidth="1"/>
    <col min="16130" max="16130" width="92.42578125" style="20" customWidth="1"/>
    <col min="16131" max="16131" width="15.7109375" style="20" customWidth="1"/>
    <col min="16132" max="16132" width="24.85546875" style="20" customWidth="1"/>
    <col min="16133" max="16133" width="25" style="20" customWidth="1"/>
    <col min="16134" max="16134" width="25.140625" style="20" customWidth="1"/>
    <col min="16135" max="16384" width="9.140625" style="20"/>
  </cols>
  <sheetData>
    <row r="1" spans="1:7" ht="23.25" customHeight="1" x14ac:dyDescent="0.3">
      <c r="A1" s="204" t="s">
        <v>525</v>
      </c>
      <c r="B1" s="199"/>
      <c r="C1" s="199"/>
      <c r="D1" s="199"/>
      <c r="E1" s="199"/>
      <c r="F1" s="199"/>
    </row>
    <row r="2" spans="1:7" ht="25.5" customHeight="1" x14ac:dyDescent="0.3">
      <c r="A2" s="205" t="s">
        <v>0</v>
      </c>
      <c r="B2" s="199"/>
      <c r="C2" s="199"/>
      <c r="D2" s="199"/>
      <c r="E2" s="199"/>
      <c r="F2" s="199"/>
    </row>
    <row r="3" spans="1:7" ht="18.75" customHeight="1" x14ac:dyDescent="0.3">
      <c r="A3" s="206" t="s">
        <v>658</v>
      </c>
      <c r="B3" s="199"/>
      <c r="C3" s="199"/>
      <c r="D3" s="199"/>
      <c r="E3" s="199"/>
      <c r="F3" s="199"/>
    </row>
    <row r="4" spans="1:7" ht="10.5" customHeight="1" x14ac:dyDescent="0.3">
      <c r="A4" s="127"/>
      <c r="B4" s="127"/>
      <c r="C4" s="207"/>
      <c r="D4" s="207"/>
      <c r="E4" s="207"/>
      <c r="F4" s="207"/>
    </row>
    <row r="5" spans="1:7" ht="63" customHeight="1" x14ac:dyDescent="0.3">
      <c r="A5" s="208" t="s">
        <v>488</v>
      </c>
      <c r="B5" s="208"/>
      <c r="C5" s="208"/>
      <c r="D5" s="208"/>
      <c r="E5" s="208"/>
      <c r="F5" s="208"/>
      <c r="G5" s="128"/>
    </row>
    <row r="6" spans="1:7" ht="18" customHeight="1" x14ac:dyDescent="0.3">
      <c r="A6" s="203" t="s">
        <v>67</v>
      </c>
      <c r="B6" s="203"/>
      <c r="C6" s="203"/>
      <c r="D6" s="203"/>
      <c r="E6" s="203"/>
      <c r="F6" s="203"/>
    </row>
    <row r="7" spans="1:7" ht="63.75" customHeight="1" x14ac:dyDescent="0.3">
      <c r="A7" s="1" t="s">
        <v>68</v>
      </c>
      <c r="B7" s="2" t="s">
        <v>69</v>
      </c>
      <c r="C7" s="3" t="s">
        <v>70</v>
      </c>
      <c r="D7" s="4" t="s">
        <v>461</v>
      </c>
      <c r="E7" s="4" t="s">
        <v>474</v>
      </c>
      <c r="F7" s="4" t="s">
        <v>489</v>
      </c>
    </row>
    <row r="8" spans="1:7" s="6" customFormat="1" ht="21.75" customHeight="1" x14ac:dyDescent="0.25">
      <c r="A8" s="5"/>
      <c r="B8" s="5">
        <v>1</v>
      </c>
      <c r="C8" s="5">
        <v>2</v>
      </c>
      <c r="D8" s="5">
        <v>3</v>
      </c>
      <c r="E8" s="5">
        <v>4</v>
      </c>
      <c r="F8" s="5">
        <v>5</v>
      </c>
    </row>
    <row r="9" spans="1:7" s="6" customFormat="1" ht="33" customHeight="1" x14ac:dyDescent="0.25">
      <c r="A9" s="5">
        <v>1</v>
      </c>
      <c r="B9" s="7" t="s">
        <v>71</v>
      </c>
      <c r="C9" s="8" t="s">
        <v>72</v>
      </c>
      <c r="D9" s="9">
        <f>D10+D11+D12+D13+D14</f>
        <v>4817998.57</v>
      </c>
      <c r="E9" s="9">
        <f t="shared" ref="E9:F9" si="0">E10+E11+E12+E13+E14</f>
        <v>3959906</v>
      </c>
      <c r="F9" s="9">
        <f t="shared" si="0"/>
        <v>3905007</v>
      </c>
    </row>
    <row r="10" spans="1:7" s="6" customFormat="1" ht="53.25" customHeight="1" x14ac:dyDescent="0.25">
      <c r="A10" s="5">
        <v>2</v>
      </c>
      <c r="B10" s="7" t="s">
        <v>73</v>
      </c>
      <c r="C10" s="8" t="s">
        <v>74</v>
      </c>
      <c r="D10" s="9">
        <f>'приложение 4'!G13</f>
        <v>980565</v>
      </c>
      <c r="E10" s="9">
        <f>'приложение 4'!H13</f>
        <v>940140</v>
      </c>
      <c r="F10" s="9">
        <f>'приложение 4'!I13</f>
        <v>940140</v>
      </c>
    </row>
    <row r="11" spans="1:7" s="6" customFormat="1" ht="56.25" x14ac:dyDescent="0.25">
      <c r="A11" s="5">
        <v>3</v>
      </c>
      <c r="B11" s="64" t="s">
        <v>75</v>
      </c>
      <c r="C11" s="8" t="s">
        <v>76</v>
      </c>
      <c r="D11" s="9">
        <f>'приложение 4'!G19</f>
        <v>5000</v>
      </c>
      <c r="E11" s="9">
        <f>'приложение 4'!H19</f>
        <v>0</v>
      </c>
      <c r="F11" s="9">
        <f>'приложение 4'!I19</f>
        <v>0</v>
      </c>
    </row>
    <row r="12" spans="1:7" ht="56.25" x14ac:dyDescent="0.3">
      <c r="A12" s="5">
        <v>4</v>
      </c>
      <c r="B12" s="64" t="s">
        <v>77</v>
      </c>
      <c r="C12" s="8" t="s">
        <v>78</v>
      </c>
      <c r="D12" s="9">
        <f>'приложение 4'!G25</f>
        <v>3782133.57</v>
      </c>
      <c r="E12" s="9">
        <f>'приложение 4'!H25</f>
        <v>3006966</v>
      </c>
      <c r="F12" s="9">
        <f>'приложение 4'!I25</f>
        <v>2952067</v>
      </c>
    </row>
    <row r="13" spans="1:7" ht="33.75" customHeight="1" x14ac:dyDescent="0.3">
      <c r="A13" s="5">
        <v>5</v>
      </c>
      <c r="B13" s="7" t="s">
        <v>79</v>
      </c>
      <c r="C13" s="8" t="s">
        <v>80</v>
      </c>
      <c r="D13" s="10">
        <f>'приложение 4'!G44</f>
        <v>10000</v>
      </c>
      <c r="E13" s="10">
        <f>'приложение 4'!H44</f>
        <v>0</v>
      </c>
      <c r="F13" s="10">
        <f>'приложение 4'!I44</f>
        <v>0</v>
      </c>
    </row>
    <row r="14" spans="1:7" ht="33.75" customHeight="1" x14ac:dyDescent="0.3">
      <c r="A14" s="5">
        <v>6</v>
      </c>
      <c r="B14" s="68" t="str">
        <f>'приложение 4'!B50</f>
        <v>Другие общегосударственные вопросы</v>
      </c>
      <c r="C14" s="8" t="s">
        <v>82</v>
      </c>
      <c r="D14" s="10">
        <f>'приложение 4'!G50</f>
        <v>40300</v>
      </c>
      <c r="E14" s="10">
        <f>'приложение 4'!H50</f>
        <v>12800</v>
      </c>
      <c r="F14" s="10">
        <f>'приложение 4'!I50</f>
        <v>12800</v>
      </c>
    </row>
    <row r="15" spans="1:7" ht="37.5" customHeight="1" x14ac:dyDescent="0.3">
      <c r="A15" s="5">
        <v>7</v>
      </c>
      <c r="B15" s="7" t="s">
        <v>83</v>
      </c>
      <c r="C15" s="8" t="s">
        <v>84</v>
      </c>
      <c r="D15" s="10">
        <f>D16</f>
        <v>409265</v>
      </c>
      <c r="E15" s="10">
        <f>E16</f>
        <v>424831</v>
      </c>
      <c r="F15" s="10">
        <f>F16</f>
        <v>441674</v>
      </c>
    </row>
    <row r="16" spans="1:7" ht="41.25" customHeight="1" x14ac:dyDescent="0.3">
      <c r="A16" s="5">
        <v>8</v>
      </c>
      <c r="B16" s="7" t="s">
        <v>85</v>
      </c>
      <c r="C16" s="8" t="s">
        <v>86</v>
      </c>
      <c r="D16" s="9">
        <f>'приложение 4'!G68</f>
        <v>409265</v>
      </c>
      <c r="E16" s="9">
        <f>'приложение 4'!H68</f>
        <v>424831</v>
      </c>
      <c r="F16" s="9">
        <f>'приложение 4'!I68</f>
        <v>441674</v>
      </c>
    </row>
    <row r="17" spans="1:6" ht="44.25" customHeight="1" x14ac:dyDescent="0.3">
      <c r="A17" s="5">
        <v>9</v>
      </c>
      <c r="B17" s="11" t="s">
        <v>87</v>
      </c>
      <c r="C17" s="8" t="s">
        <v>88</v>
      </c>
      <c r="D17" s="10">
        <f>D18</f>
        <v>209263</v>
      </c>
      <c r="E17" s="10">
        <f t="shared" ref="E17:F17" si="1">E18</f>
        <v>209263</v>
      </c>
      <c r="F17" s="10">
        <f t="shared" si="1"/>
        <v>209263</v>
      </c>
    </row>
    <row r="18" spans="1:6" ht="55.5" customHeight="1" x14ac:dyDescent="0.3">
      <c r="A18" s="5">
        <v>10</v>
      </c>
      <c r="B18" s="7" t="s">
        <v>484</v>
      </c>
      <c r="C18" s="8" t="s">
        <v>89</v>
      </c>
      <c r="D18" s="10">
        <f>'приложение 4'!G77</f>
        <v>209263</v>
      </c>
      <c r="E18" s="10">
        <f>'приложение 4'!H77</f>
        <v>209263</v>
      </c>
      <c r="F18" s="10">
        <f>'приложение 4'!I77</f>
        <v>209263</v>
      </c>
    </row>
    <row r="19" spans="1:6" ht="39.75" customHeight="1" x14ac:dyDescent="0.3">
      <c r="A19" s="5">
        <v>9</v>
      </c>
      <c r="B19" s="7" t="s">
        <v>90</v>
      </c>
      <c r="C19" s="8" t="s">
        <v>91</v>
      </c>
      <c r="D19" s="10">
        <f>D20+D21</f>
        <v>3216158.93</v>
      </c>
      <c r="E19" s="10">
        <f>E20+E21</f>
        <v>52336900</v>
      </c>
      <c r="F19" s="10">
        <f>F20+F21</f>
        <v>581600</v>
      </c>
    </row>
    <row r="20" spans="1:6" ht="33" customHeight="1" x14ac:dyDescent="0.3">
      <c r="A20" s="5">
        <v>10</v>
      </c>
      <c r="B20" s="7" t="s">
        <v>92</v>
      </c>
      <c r="C20" s="8" t="s">
        <v>93</v>
      </c>
      <c r="D20" s="10">
        <f>'приложение 4'!G86</f>
        <v>3176158.93</v>
      </c>
      <c r="E20" s="10">
        <f>'приложение 4'!H86</f>
        <v>52336900</v>
      </c>
      <c r="F20" s="10">
        <f>'приложение 4'!I86</f>
        <v>581600</v>
      </c>
    </row>
    <row r="21" spans="1:6" ht="39" customHeight="1" x14ac:dyDescent="0.3">
      <c r="A21" s="5">
        <v>11</v>
      </c>
      <c r="B21" s="7" t="s">
        <v>94</v>
      </c>
      <c r="C21" s="8" t="s">
        <v>95</v>
      </c>
      <c r="D21" s="9">
        <f>'приложение 4'!G101</f>
        <v>40000</v>
      </c>
      <c r="E21" s="9">
        <f>'приложение 4'!H101</f>
        <v>0</v>
      </c>
      <c r="F21" s="9">
        <f>'приложение 4'!I101</f>
        <v>0</v>
      </c>
    </row>
    <row r="22" spans="1:6" ht="37.5" customHeight="1" x14ac:dyDescent="0.3">
      <c r="A22" s="5">
        <v>12</v>
      </c>
      <c r="B22" s="7" t="s">
        <v>96</v>
      </c>
      <c r="C22" s="8" t="s">
        <v>97</v>
      </c>
      <c r="D22" s="9">
        <f>D23+D24</f>
        <v>6085304</v>
      </c>
      <c r="E22" s="9">
        <f>E23+E24</f>
        <v>2078461</v>
      </c>
      <c r="F22" s="9">
        <f>F23+F24</f>
        <v>1908461</v>
      </c>
    </row>
    <row r="23" spans="1:6" ht="35.25" customHeight="1" x14ac:dyDescent="0.3">
      <c r="A23" s="5">
        <v>13</v>
      </c>
      <c r="B23" s="7" t="s">
        <v>98</v>
      </c>
      <c r="C23" s="8" t="s">
        <v>99</v>
      </c>
      <c r="D23" s="9">
        <f>'приложение 4'!G108</f>
        <v>5000</v>
      </c>
      <c r="E23" s="9">
        <f>'приложение 4'!H108</f>
        <v>0</v>
      </c>
      <c r="F23" s="9">
        <f>'приложение 4'!I108</f>
        <v>0</v>
      </c>
    </row>
    <row r="24" spans="1:6" ht="41.25" customHeight="1" x14ac:dyDescent="0.3">
      <c r="A24" s="5">
        <v>14</v>
      </c>
      <c r="B24" s="7" t="s">
        <v>100</v>
      </c>
      <c r="C24" s="8" t="s">
        <v>101</v>
      </c>
      <c r="D24" s="9">
        <f>'приложение 4'!G114</f>
        <v>6080304</v>
      </c>
      <c r="E24" s="9">
        <f>'приложение 4'!H114</f>
        <v>2078461</v>
      </c>
      <c r="F24" s="9">
        <f>'приложение 4'!I114</f>
        <v>1908461</v>
      </c>
    </row>
    <row r="25" spans="1:6" ht="32.25" customHeight="1" x14ac:dyDescent="0.3">
      <c r="A25" s="5">
        <v>15</v>
      </c>
      <c r="B25" s="7" t="s">
        <v>102</v>
      </c>
      <c r="C25" s="8" t="s">
        <v>103</v>
      </c>
      <c r="D25" s="9">
        <f>D26</f>
        <v>76400</v>
      </c>
      <c r="E25" s="9">
        <f>E26</f>
        <v>0</v>
      </c>
      <c r="F25" s="9">
        <f>F26</f>
        <v>0</v>
      </c>
    </row>
    <row r="26" spans="1:6" ht="36.75" customHeight="1" x14ac:dyDescent="0.3">
      <c r="A26" s="5">
        <v>16</v>
      </c>
      <c r="B26" s="7" t="s">
        <v>104</v>
      </c>
      <c r="C26" s="8" t="s">
        <v>105</v>
      </c>
      <c r="D26" s="9">
        <f>'приложение 4'!G157</f>
        <v>76400</v>
      </c>
      <c r="E26" s="9">
        <f>'приложение 4'!H157</f>
        <v>0</v>
      </c>
      <c r="F26" s="9">
        <f>'приложение 4'!I157</f>
        <v>0</v>
      </c>
    </row>
    <row r="27" spans="1:6" ht="38.25" customHeight="1" x14ac:dyDescent="0.3">
      <c r="A27" s="5">
        <v>17</v>
      </c>
      <c r="B27" s="7" t="s">
        <v>106</v>
      </c>
      <c r="C27" s="8" t="s">
        <v>107</v>
      </c>
      <c r="D27" s="9">
        <f>D28</f>
        <v>100000</v>
      </c>
      <c r="E27" s="9">
        <f>E28</f>
        <v>0</v>
      </c>
      <c r="F27" s="9">
        <f>F28</f>
        <v>0</v>
      </c>
    </row>
    <row r="28" spans="1:6" ht="36" customHeight="1" x14ac:dyDescent="0.3">
      <c r="A28" s="5">
        <v>18</v>
      </c>
      <c r="B28" s="7" t="s">
        <v>108</v>
      </c>
      <c r="C28" s="8" t="s">
        <v>109</v>
      </c>
      <c r="D28" s="9">
        <f>'приложение 4'!G164</f>
        <v>100000</v>
      </c>
      <c r="E28" s="9">
        <f>'приложение 4'!H164</f>
        <v>0</v>
      </c>
      <c r="F28" s="9">
        <f>'приложение 4'!I164</f>
        <v>0</v>
      </c>
    </row>
    <row r="29" spans="1:6" ht="54" customHeight="1" x14ac:dyDescent="0.3">
      <c r="A29" s="5">
        <v>19</v>
      </c>
      <c r="B29" s="7" t="s">
        <v>477</v>
      </c>
      <c r="C29" s="8" t="s">
        <v>110</v>
      </c>
      <c r="D29" s="9">
        <f>D30</f>
        <v>820291</v>
      </c>
      <c r="E29" s="9">
        <f>E30</f>
        <v>820291</v>
      </c>
      <c r="F29" s="9">
        <f>F30</f>
        <v>820291</v>
      </c>
    </row>
    <row r="30" spans="1:6" ht="28.5" customHeight="1" x14ac:dyDescent="0.3">
      <c r="A30" s="5">
        <v>20</v>
      </c>
      <c r="B30" s="7" t="s">
        <v>111</v>
      </c>
      <c r="C30" s="8" t="s">
        <v>112</v>
      </c>
      <c r="D30" s="9">
        <f>'приложение 4'!G170</f>
        <v>820291</v>
      </c>
      <c r="E30" s="9">
        <f>'приложение 4'!H171</f>
        <v>820291</v>
      </c>
      <c r="F30" s="9">
        <f>'приложение 4'!I171</f>
        <v>820291</v>
      </c>
    </row>
    <row r="31" spans="1:6" ht="36" customHeight="1" x14ac:dyDescent="0.3">
      <c r="A31" s="5">
        <v>21</v>
      </c>
      <c r="B31" s="7" t="s">
        <v>113</v>
      </c>
      <c r="C31" s="8"/>
      <c r="D31" s="9">
        <v>0</v>
      </c>
      <c r="E31" s="12">
        <f>'Приложение 2'!L94</f>
        <v>127207</v>
      </c>
      <c r="F31" s="12">
        <f>'Приложение 2'!M94</f>
        <v>250083</v>
      </c>
    </row>
    <row r="32" spans="1:6" s="23" customFormat="1" ht="39.75" customHeight="1" x14ac:dyDescent="0.3">
      <c r="A32" s="13"/>
      <c r="B32" s="14" t="s">
        <v>114</v>
      </c>
      <c r="C32" s="65"/>
      <c r="D32" s="15">
        <f>D29+D27+D25+D22+D19+D17+D9+D15</f>
        <v>15734680.5</v>
      </c>
      <c r="E32" s="15">
        <f t="shared" ref="E32:F32" si="2">E29+E27+E25+E22+E19+E17+E9+E15</f>
        <v>59829652</v>
      </c>
      <c r="F32" s="15">
        <f t="shared" si="2"/>
        <v>7866296</v>
      </c>
    </row>
    <row r="33" spans="1:6" ht="32.25" hidden="1" customHeight="1" x14ac:dyDescent="0.3">
      <c r="A33" s="16"/>
      <c r="B33" s="17"/>
      <c r="D33" s="18">
        <f>'приложение 4'!G178</f>
        <v>15734680.5</v>
      </c>
      <c r="E33" s="18">
        <f>'приложение 4'!H178</f>
        <v>59956859</v>
      </c>
      <c r="F33" s="18">
        <f>'приложение 4'!I178</f>
        <v>8116379</v>
      </c>
    </row>
    <row r="34" spans="1:6" hidden="1" x14ac:dyDescent="0.3">
      <c r="A34" s="16"/>
      <c r="B34" s="27"/>
      <c r="D34" s="66">
        <f>D32-D33</f>
        <v>0</v>
      </c>
      <c r="E34" s="67">
        <f>E32-E33</f>
        <v>-127207</v>
      </c>
      <c r="F34" s="67">
        <f>F32-F33</f>
        <v>-250083</v>
      </c>
    </row>
    <row r="35" spans="1:6" ht="38.25" hidden="1" customHeight="1" x14ac:dyDescent="0.3">
      <c r="A35" s="16"/>
      <c r="B35" s="27"/>
      <c r="D35" s="26"/>
      <c r="E35" s="25">
        <f>'[1]Приложение 4'!L64</f>
        <v>5946184</v>
      </c>
      <c r="F35" s="25">
        <f>'[1]Приложение 4'!M64</f>
        <v>6159319</v>
      </c>
    </row>
    <row r="36" spans="1:6" ht="30.75" hidden="1" customHeight="1" x14ac:dyDescent="0.3">
      <c r="A36" s="16"/>
      <c r="B36" s="19"/>
      <c r="D36" s="26"/>
      <c r="E36" s="25">
        <f>E35-E32</f>
        <v>-53883468</v>
      </c>
      <c r="F36" s="25">
        <f>F32-F35</f>
        <v>1706977</v>
      </c>
    </row>
    <row r="37" spans="1:6" hidden="1" x14ac:dyDescent="0.3">
      <c r="A37" s="16"/>
      <c r="B37" s="27"/>
      <c r="D37" s="26"/>
      <c r="E37" s="25">
        <f>E32-'приложение 4'!H178</f>
        <v>-127207</v>
      </c>
      <c r="F37" s="25">
        <f>F32-'приложение 4'!I178</f>
        <v>-250083</v>
      </c>
    </row>
    <row r="38" spans="1:6" x14ac:dyDescent="0.3">
      <c r="A38" s="16"/>
      <c r="B38" s="27"/>
      <c r="D38" s="26"/>
    </row>
    <row r="39" spans="1:6" x14ac:dyDescent="0.3">
      <c r="A39" s="16"/>
      <c r="B39" s="27"/>
    </row>
    <row r="40" spans="1:6" x14ac:dyDescent="0.3">
      <c r="A40" s="16"/>
      <c r="D40" s="23"/>
    </row>
    <row r="41" spans="1:6" x14ac:dyDescent="0.3">
      <c r="A41" s="16"/>
    </row>
    <row r="42" spans="1:6" x14ac:dyDescent="0.3">
      <c r="A42" s="16"/>
    </row>
    <row r="43" spans="1:6" x14ac:dyDescent="0.3">
      <c r="A43" s="16"/>
      <c r="D43" s="26"/>
    </row>
    <row r="44" spans="1:6" x14ac:dyDescent="0.3">
      <c r="A44" s="16"/>
    </row>
    <row r="45" spans="1:6" x14ac:dyDescent="0.3">
      <c r="A45" s="16"/>
    </row>
    <row r="46" spans="1:6" x14ac:dyDescent="0.3">
      <c r="A46" s="16"/>
    </row>
    <row r="47" spans="1:6" x14ac:dyDescent="0.3">
      <c r="A47" s="16"/>
    </row>
    <row r="48" spans="1:6" x14ac:dyDescent="0.3">
      <c r="A48" s="16"/>
    </row>
    <row r="49" spans="1:1" x14ac:dyDescent="0.3">
      <c r="A49" s="16"/>
    </row>
    <row r="50" spans="1:1" x14ac:dyDescent="0.3">
      <c r="A50" s="16"/>
    </row>
    <row r="51" spans="1:1" x14ac:dyDescent="0.3">
      <c r="A51" s="16"/>
    </row>
    <row r="52" spans="1:1" x14ac:dyDescent="0.3">
      <c r="A52" s="16"/>
    </row>
    <row r="53" spans="1:1" x14ac:dyDescent="0.3">
      <c r="A53" s="16"/>
    </row>
    <row r="54" spans="1:1" x14ac:dyDescent="0.3">
      <c r="A54" s="16"/>
    </row>
    <row r="55" spans="1:1" x14ac:dyDescent="0.3">
      <c r="A55" s="16"/>
    </row>
    <row r="56" spans="1:1" x14ac:dyDescent="0.3">
      <c r="A56" s="16"/>
    </row>
    <row r="57" spans="1:1" x14ac:dyDescent="0.3">
      <c r="A57" s="16"/>
    </row>
    <row r="58" spans="1:1" x14ac:dyDescent="0.3">
      <c r="A58" s="16"/>
    </row>
    <row r="59" spans="1:1" x14ac:dyDescent="0.3">
      <c r="A59" s="16"/>
    </row>
    <row r="60" spans="1:1" x14ac:dyDescent="0.3">
      <c r="A60" s="16"/>
    </row>
    <row r="61" spans="1:1" x14ac:dyDescent="0.3">
      <c r="A61" s="16"/>
    </row>
    <row r="62" spans="1:1" x14ac:dyDescent="0.3">
      <c r="A62" s="16"/>
    </row>
    <row r="63" spans="1:1" x14ac:dyDescent="0.3">
      <c r="A63" s="16"/>
    </row>
    <row r="64" spans="1:1" x14ac:dyDescent="0.3">
      <c r="A64" s="16"/>
    </row>
    <row r="65" spans="1:1" x14ac:dyDescent="0.3">
      <c r="A65" s="16"/>
    </row>
    <row r="66" spans="1:1" x14ac:dyDescent="0.3">
      <c r="A66" s="16"/>
    </row>
    <row r="67" spans="1:1" x14ac:dyDescent="0.3">
      <c r="A67" s="16"/>
    </row>
    <row r="68" spans="1:1" x14ac:dyDescent="0.3">
      <c r="A68" s="16"/>
    </row>
    <row r="69" spans="1:1" x14ac:dyDescent="0.3">
      <c r="A69" s="16"/>
    </row>
    <row r="70" spans="1:1" x14ac:dyDescent="0.3">
      <c r="A70" s="16"/>
    </row>
    <row r="71" spans="1:1" x14ac:dyDescent="0.3">
      <c r="A71" s="16"/>
    </row>
    <row r="72" spans="1:1" x14ac:dyDescent="0.3">
      <c r="A72" s="16"/>
    </row>
    <row r="73" spans="1:1" x14ac:dyDescent="0.3">
      <c r="A73" s="16"/>
    </row>
    <row r="74" spans="1:1" x14ac:dyDescent="0.3">
      <c r="A74" s="16"/>
    </row>
    <row r="75" spans="1:1" x14ac:dyDescent="0.3">
      <c r="A75" s="16"/>
    </row>
    <row r="76" spans="1:1" x14ac:dyDescent="0.3">
      <c r="A76" s="16"/>
    </row>
    <row r="77" spans="1:1" x14ac:dyDescent="0.3">
      <c r="A77" s="16"/>
    </row>
    <row r="78" spans="1:1" x14ac:dyDescent="0.3">
      <c r="A78" s="16"/>
    </row>
    <row r="79" spans="1:1" x14ac:dyDescent="0.3">
      <c r="A79" s="16"/>
    </row>
    <row r="80" spans="1:1" x14ac:dyDescent="0.3">
      <c r="A80" s="16"/>
    </row>
    <row r="81" spans="1:1" x14ac:dyDescent="0.3">
      <c r="A81" s="16"/>
    </row>
    <row r="82" spans="1:1" x14ac:dyDescent="0.3">
      <c r="A82" s="27"/>
    </row>
    <row r="83" spans="1:1" x14ac:dyDescent="0.3">
      <c r="A83" s="27"/>
    </row>
    <row r="84" spans="1:1" x14ac:dyDescent="0.3">
      <c r="A84" s="27"/>
    </row>
    <row r="85" spans="1:1" x14ac:dyDescent="0.3">
      <c r="A85" s="27"/>
    </row>
    <row r="86" spans="1:1" x14ac:dyDescent="0.3">
      <c r="A86" s="27"/>
    </row>
    <row r="87" spans="1:1" x14ac:dyDescent="0.3">
      <c r="A87" s="27"/>
    </row>
    <row r="88" spans="1:1" x14ac:dyDescent="0.3">
      <c r="A88" s="27"/>
    </row>
    <row r="89" spans="1:1" x14ac:dyDescent="0.3">
      <c r="A89" s="27"/>
    </row>
    <row r="90" spans="1:1" x14ac:dyDescent="0.3">
      <c r="A90" s="27"/>
    </row>
    <row r="105" spans="3:3" x14ac:dyDescent="0.3">
      <c r="C105" s="20"/>
    </row>
    <row r="106" spans="3:3" x14ac:dyDescent="0.3">
      <c r="C106" s="20"/>
    </row>
    <row r="107" spans="3:3" x14ac:dyDescent="0.3">
      <c r="C107" s="20"/>
    </row>
    <row r="108" spans="3:3" x14ac:dyDescent="0.3">
      <c r="C108" s="20"/>
    </row>
    <row r="109" spans="3:3" x14ac:dyDescent="0.3">
      <c r="C109" s="20"/>
    </row>
    <row r="110" spans="3:3" x14ac:dyDescent="0.3">
      <c r="C110" s="20"/>
    </row>
    <row r="111" spans="3:3" x14ac:dyDescent="0.3">
      <c r="C111" s="20"/>
    </row>
    <row r="112" spans="3:3" x14ac:dyDescent="0.3">
      <c r="C112" s="20"/>
    </row>
    <row r="113" spans="3:3" x14ac:dyDescent="0.3">
      <c r="C113" s="20"/>
    </row>
    <row r="114" spans="3:3" x14ac:dyDescent="0.3">
      <c r="C114" s="20"/>
    </row>
    <row r="115" spans="3:3" x14ac:dyDescent="0.3">
      <c r="C115" s="20"/>
    </row>
    <row r="116" spans="3:3" x14ac:dyDescent="0.3">
      <c r="C116" s="20"/>
    </row>
    <row r="117" spans="3:3" x14ac:dyDescent="0.3">
      <c r="C117" s="20"/>
    </row>
    <row r="118" spans="3:3" x14ac:dyDescent="0.3">
      <c r="C118" s="20"/>
    </row>
    <row r="119" spans="3:3" x14ac:dyDescent="0.3">
      <c r="C119" s="20"/>
    </row>
    <row r="120" spans="3:3" x14ac:dyDescent="0.3">
      <c r="C120" s="20"/>
    </row>
    <row r="121" spans="3:3" x14ac:dyDescent="0.3">
      <c r="C121" s="20"/>
    </row>
    <row r="122" spans="3:3" x14ac:dyDescent="0.3">
      <c r="C122" s="20"/>
    </row>
    <row r="123" spans="3:3" x14ac:dyDescent="0.3">
      <c r="C123" s="20"/>
    </row>
    <row r="124" spans="3:3" x14ac:dyDescent="0.3">
      <c r="C124" s="20"/>
    </row>
    <row r="125" spans="3:3" x14ac:dyDescent="0.3">
      <c r="C125" s="20"/>
    </row>
    <row r="126" spans="3:3" x14ac:dyDescent="0.3">
      <c r="C126" s="20"/>
    </row>
    <row r="127" spans="3:3" x14ac:dyDescent="0.3">
      <c r="C127" s="20"/>
    </row>
    <row r="128" spans="3:3" x14ac:dyDescent="0.3">
      <c r="C128" s="20"/>
    </row>
    <row r="129" spans="3:3" x14ac:dyDescent="0.3">
      <c r="C129" s="20"/>
    </row>
    <row r="130" spans="3:3" x14ac:dyDescent="0.3">
      <c r="C130" s="20"/>
    </row>
    <row r="131" spans="3:3" x14ac:dyDescent="0.3">
      <c r="C131" s="20"/>
    </row>
    <row r="132" spans="3:3" x14ac:dyDescent="0.3">
      <c r="C132" s="20"/>
    </row>
    <row r="133" spans="3:3" x14ac:dyDescent="0.3">
      <c r="C133" s="20"/>
    </row>
    <row r="134" spans="3:3" x14ac:dyDescent="0.3">
      <c r="C134" s="20"/>
    </row>
    <row r="135" spans="3:3" x14ac:dyDescent="0.3">
      <c r="C135" s="20"/>
    </row>
    <row r="136" spans="3:3" x14ac:dyDescent="0.3">
      <c r="C136" s="20"/>
    </row>
    <row r="137" spans="3:3" x14ac:dyDescent="0.3">
      <c r="C137" s="20"/>
    </row>
    <row r="138" spans="3:3" x14ac:dyDescent="0.3">
      <c r="C138" s="20"/>
    </row>
    <row r="139" spans="3:3" x14ac:dyDescent="0.3">
      <c r="C139" s="20"/>
    </row>
    <row r="140" spans="3:3" x14ac:dyDescent="0.3">
      <c r="C140" s="20"/>
    </row>
    <row r="141" spans="3:3" x14ac:dyDescent="0.3">
      <c r="C141" s="20"/>
    </row>
    <row r="142" spans="3:3" x14ac:dyDescent="0.3">
      <c r="C142" s="20"/>
    </row>
    <row r="143" spans="3:3" x14ac:dyDescent="0.3">
      <c r="C143" s="20"/>
    </row>
    <row r="144" spans="3:3" x14ac:dyDescent="0.3">
      <c r="C144" s="20"/>
    </row>
    <row r="145" spans="3:3" x14ac:dyDescent="0.3">
      <c r="C145" s="20"/>
    </row>
    <row r="146" spans="3:3" x14ac:dyDescent="0.3">
      <c r="C146" s="20"/>
    </row>
    <row r="147" spans="3:3" x14ac:dyDescent="0.3">
      <c r="C147" s="20"/>
    </row>
    <row r="148" spans="3:3" x14ac:dyDescent="0.3">
      <c r="C148" s="20"/>
    </row>
    <row r="149" spans="3:3" x14ac:dyDescent="0.3">
      <c r="C149" s="20"/>
    </row>
    <row r="150" spans="3:3" x14ac:dyDescent="0.3">
      <c r="C150" s="20"/>
    </row>
    <row r="151" spans="3:3" x14ac:dyDescent="0.3">
      <c r="C151" s="20"/>
    </row>
    <row r="152" spans="3:3" x14ac:dyDescent="0.3">
      <c r="C152" s="20"/>
    </row>
    <row r="153" spans="3:3" x14ac:dyDescent="0.3">
      <c r="C153" s="20"/>
    </row>
    <row r="154" spans="3:3" x14ac:dyDescent="0.3">
      <c r="C154" s="20"/>
    </row>
    <row r="155" spans="3:3" x14ac:dyDescent="0.3">
      <c r="C155" s="20"/>
    </row>
    <row r="156" spans="3:3" x14ac:dyDescent="0.3">
      <c r="C156" s="20"/>
    </row>
    <row r="157" spans="3:3" x14ac:dyDescent="0.3">
      <c r="C157" s="20"/>
    </row>
  </sheetData>
  <mergeCells count="6">
    <mergeCell ref="A6:F6"/>
    <mergeCell ref="A1:F1"/>
    <mergeCell ref="A2:F2"/>
    <mergeCell ref="A3:F3"/>
    <mergeCell ref="C4:F4"/>
    <mergeCell ref="A5:F5"/>
  </mergeCells>
  <printOptions horizontalCentered="1"/>
  <pageMargins left="0.43307086614173229" right="0.23622047244094491" top="0.35433070866141736" bottom="0.35433070866141736" header="0.31496062992125984" footer="0.31496062992125984"/>
  <pageSetup paperSize="9" scale="45"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L299"/>
  <sheetViews>
    <sheetView zoomScale="70" zoomScaleNormal="70" workbookViewId="0">
      <pane xSplit="3" ySplit="10" topLeftCell="D128" activePane="bottomRight" state="frozen"/>
      <selection activeCell="P18" sqref="P18"/>
      <selection pane="topRight" activeCell="P18" sqref="P18"/>
      <selection pane="bottomLeft" activeCell="P18" sqref="P18"/>
      <selection pane="bottomRight" activeCell="B120" sqref="B120"/>
    </sheetView>
  </sheetViews>
  <sheetFormatPr defaultRowHeight="18.75" x14ac:dyDescent="0.3"/>
  <cols>
    <col min="1" max="1" width="10.28515625" style="20" customWidth="1"/>
    <col min="2" max="2" width="83.42578125" style="121" customWidth="1"/>
    <col min="3" max="3" width="12.28515625" style="24" customWidth="1"/>
    <col min="4" max="4" width="14" style="24" customWidth="1"/>
    <col min="5" max="5" width="18.140625" style="20" customWidth="1"/>
    <col min="6" max="6" width="12.5703125" style="20" customWidth="1"/>
    <col min="7" max="7" width="17.5703125" style="20" customWidth="1"/>
    <col min="8" max="8" width="19.28515625" style="20" customWidth="1"/>
    <col min="9" max="9" width="18.5703125" style="20" customWidth="1"/>
    <col min="10" max="10" width="12.85546875" style="20" customWidth="1"/>
    <col min="11" max="12" width="17.5703125" style="20" hidden="1" customWidth="1"/>
    <col min="13" max="14" width="0" style="20" hidden="1" customWidth="1"/>
    <col min="15" max="253" width="9.140625" style="20"/>
    <col min="254" max="254" width="10.28515625" style="20" customWidth="1"/>
    <col min="255" max="255" width="83.42578125" style="20" customWidth="1"/>
    <col min="256" max="256" width="12.28515625" style="20" customWidth="1"/>
    <col min="257" max="257" width="14" style="20" customWidth="1"/>
    <col min="258" max="258" width="17.5703125" style="20" customWidth="1"/>
    <col min="259" max="259" width="12.5703125" style="20" customWidth="1"/>
    <col min="260" max="260" width="17.5703125" style="20" customWidth="1"/>
    <col min="261" max="261" width="19.28515625" style="20" customWidth="1"/>
    <col min="262" max="262" width="18.5703125" style="20" customWidth="1"/>
    <col min="263" max="267" width="9.140625" style="20"/>
    <col min="268" max="268" width="0" style="20" hidden="1" customWidth="1"/>
    <col min="269" max="509" width="9.140625" style="20"/>
    <col min="510" max="510" width="10.28515625" style="20" customWidth="1"/>
    <col min="511" max="511" width="83.42578125" style="20" customWidth="1"/>
    <col min="512" max="512" width="12.28515625" style="20" customWidth="1"/>
    <col min="513" max="513" width="14" style="20" customWidth="1"/>
    <col min="514" max="514" width="17.5703125" style="20" customWidth="1"/>
    <col min="515" max="515" width="12.5703125" style="20" customWidth="1"/>
    <col min="516" max="516" width="17.5703125" style="20" customWidth="1"/>
    <col min="517" max="517" width="19.28515625" style="20" customWidth="1"/>
    <col min="518" max="518" width="18.5703125" style="20" customWidth="1"/>
    <col min="519" max="523" width="9.140625" style="20"/>
    <col min="524" max="524" width="0" style="20" hidden="1" customWidth="1"/>
    <col min="525" max="765" width="9.140625" style="20"/>
    <col min="766" max="766" width="10.28515625" style="20" customWidth="1"/>
    <col min="767" max="767" width="83.42578125" style="20" customWidth="1"/>
    <col min="768" max="768" width="12.28515625" style="20" customWidth="1"/>
    <col min="769" max="769" width="14" style="20" customWidth="1"/>
    <col min="770" max="770" width="17.5703125" style="20" customWidth="1"/>
    <col min="771" max="771" width="12.5703125" style="20" customWidth="1"/>
    <col min="772" max="772" width="17.5703125" style="20" customWidth="1"/>
    <col min="773" max="773" width="19.28515625" style="20" customWidth="1"/>
    <col min="774" max="774" width="18.5703125" style="20" customWidth="1"/>
    <col min="775" max="779" width="9.140625" style="20"/>
    <col min="780" max="780" width="0" style="20" hidden="1" customWidth="1"/>
    <col min="781" max="1021" width="9.140625" style="20"/>
    <col min="1022" max="1022" width="10.28515625" style="20" customWidth="1"/>
    <col min="1023" max="1023" width="83.42578125" style="20" customWidth="1"/>
    <col min="1024" max="1024" width="12.28515625" style="20" customWidth="1"/>
    <col min="1025" max="1025" width="14" style="20" customWidth="1"/>
    <col min="1026" max="1026" width="17.5703125" style="20" customWidth="1"/>
    <col min="1027" max="1027" width="12.5703125" style="20" customWidth="1"/>
    <col min="1028" max="1028" width="17.5703125" style="20" customWidth="1"/>
    <col min="1029" max="1029" width="19.28515625" style="20" customWidth="1"/>
    <col min="1030" max="1030" width="18.5703125" style="20" customWidth="1"/>
    <col min="1031" max="1035" width="9.140625" style="20"/>
    <col min="1036" max="1036" width="0" style="20" hidden="1" customWidth="1"/>
    <col min="1037" max="1277" width="9.140625" style="20"/>
    <col min="1278" max="1278" width="10.28515625" style="20" customWidth="1"/>
    <col min="1279" max="1279" width="83.42578125" style="20" customWidth="1"/>
    <col min="1280" max="1280" width="12.28515625" style="20" customWidth="1"/>
    <col min="1281" max="1281" width="14" style="20" customWidth="1"/>
    <col min="1282" max="1282" width="17.5703125" style="20" customWidth="1"/>
    <col min="1283" max="1283" width="12.5703125" style="20" customWidth="1"/>
    <col min="1284" max="1284" width="17.5703125" style="20" customWidth="1"/>
    <col min="1285" max="1285" width="19.28515625" style="20" customWidth="1"/>
    <col min="1286" max="1286" width="18.5703125" style="20" customWidth="1"/>
    <col min="1287" max="1291" width="9.140625" style="20"/>
    <col min="1292" max="1292" width="0" style="20" hidden="1" customWidth="1"/>
    <col min="1293" max="1533" width="9.140625" style="20"/>
    <col min="1534" max="1534" width="10.28515625" style="20" customWidth="1"/>
    <col min="1535" max="1535" width="83.42578125" style="20" customWidth="1"/>
    <col min="1536" max="1536" width="12.28515625" style="20" customWidth="1"/>
    <col min="1537" max="1537" width="14" style="20" customWidth="1"/>
    <col min="1538" max="1538" width="17.5703125" style="20" customWidth="1"/>
    <col min="1539" max="1539" width="12.5703125" style="20" customWidth="1"/>
    <col min="1540" max="1540" width="17.5703125" style="20" customWidth="1"/>
    <col min="1541" max="1541" width="19.28515625" style="20" customWidth="1"/>
    <col min="1542" max="1542" width="18.5703125" style="20" customWidth="1"/>
    <col min="1543" max="1547" width="9.140625" style="20"/>
    <col min="1548" max="1548" width="0" style="20" hidden="1" customWidth="1"/>
    <col min="1549" max="1789" width="9.140625" style="20"/>
    <col min="1790" max="1790" width="10.28515625" style="20" customWidth="1"/>
    <col min="1791" max="1791" width="83.42578125" style="20" customWidth="1"/>
    <col min="1792" max="1792" width="12.28515625" style="20" customWidth="1"/>
    <col min="1793" max="1793" width="14" style="20" customWidth="1"/>
    <col min="1794" max="1794" width="17.5703125" style="20" customWidth="1"/>
    <col min="1795" max="1795" width="12.5703125" style="20" customWidth="1"/>
    <col min="1796" max="1796" width="17.5703125" style="20" customWidth="1"/>
    <col min="1797" max="1797" width="19.28515625" style="20" customWidth="1"/>
    <col min="1798" max="1798" width="18.5703125" style="20" customWidth="1"/>
    <col min="1799" max="1803" width="9.140625" style="20"/>
    <col min="1804" max="1804" width="0" style="20" hidden="1" customWidth="1"/>
    <col min="1805" max="2045" width="9.140625" style="20"/>
    <col min="2046" max="2046" width="10.28515625" style="20" customWidth="1"/>
    <col min="2047" max="2047" width="83.42578125" style="20" customWidth="1"/>
    <col min="2048" max="2048" width="12.28515625" style="20" customWidth="1"/>
    <col min="2049" max="2049" width="14" style="20" customWidth="1"/>
    <col min="2050" max="2050" width="17.5703125" style="20" customWidth="1"/>
    <col min="2051" max="2051" width="12.5703125" style="20" customWidth="1"/>
    <col min="2052" max="2052" width="17.5703125" style="20" customWidth="1"/>
    <col min="2053" max="2053" width="19.28515625" style="20" customWidth="1"/>
    <col min="2054" max="2054" width="18.5703125" style="20" customWidth="1"/>
    <col min="2055" max="2059" width="9.140625" style="20"/>
    <col min="2060" max="2060" width="0" style="20" hidden="1" customWidth="1"/>
    <col min="2061" max="2301" width="9.140625" style="20"/>
    <col min="2302" max="2302" width="10.28515625" style="20" customWidth="1"/>
    <col min="2303" max="2303" width="83.42578125" style="20" customWidth="1"/>
    <col min="2304" max="2304" width="12.28515625" style="20" customWidth="1"/>
    <col min="2305" max="2305" width="14" style="20" customWidth="1"/>
    <col min="2306" max="2306" width="17.5703125" style="20" customWidth="1"/>
    <col min="2307" max="2307" width="12.5703125" style="20" customWidth="1"/>
    <col min="2308" max="2308" width="17.5703125" style="20" customWidth="1"/>
    <col min="2309" max="2309" width="19.28515625" style="20" customWidth="1"/>
    <col min="2310" max="2310" width="18.5703125" style="20" customWidth="1"/>
    <col min="2311" max="2315" width="9.140625" style="20"/>
    <col min="2316" max="2316" width="0" style="20" hidden="1" customWidth="1"/>
    <col min="2317" max="2557" width="9.140625" style="20"/>
    <col min="2558" max="2558" width="10.28515625" style="20" customWidth="1"/>
    <col min="2559" max="2559" width="83.42578125" style="20" customWidth="1"/>
    <col min="2560" max="2560" width="12.28515625" style="20" customWidth="1"/>
    <col min="2561" max="2561" width="14" style="20" customWidth="1"/>
    <col min="2562" max="2562" width="17.5703125" style="20" customWidth="1"/>
    <col min="2563" max="2563" width="12.5703125" style="20" customWidth="1"/>
    <col min="2564" max="2564" width="17.5703125" style="20" customWidth="1"/>
    <col min="2565" max="2565" width="19.28515625" style="20" customWidth="1"/>
    <col min="2566" max="2566" width="18.5703125" style="20" customWidth="1"/>
    <col min="2567" max="2571" width="9.140625" style="20"/>
    <col min="2572" max="2572" width="0" style="20" hidden="1" customWidth="1"/>
    <col min="2573" max="2813" width="9.140625" style="20"/>
    <col min="2814" max="2814" width="10.28515625" style="20" customWidth="1"/>
    <col min="2815" max="2815" width="83.42578125" style="20" customWidth="1"/>
    <col min="2816" max="2816" width="12.28515625" style="20" customWidth="1"/>
    <col min="2817" max="2817" width="14" style="20" customWidth="1"/>
    <col min="2818" max="2818" width="17.5703125" style="20" customWidth="1"/>
    <col min="2819" max="2819" width="12.5703125" style="20" customWidth="1"/>
    <col min="2820" max="2820" width="17.5703125" style="20" customWidth="1"/>
    <col min="2821" max="2821" width="19.28515625" style="20" customWidth="1"/>
    <col min="2822" max="2822" width="18.5703125" style="20" customWidth="1"/>
    <col min="2823" max="2827" width="9.140625" style="20"/>
    <col min="2828" max="2828" width="0" style="20" hidden="1" customWidth="1"/>
    <col min="2829" max="3069" width="9.140625" style="20"/>
    <col min="3070" max="3070" width="10.28515625" style="20" customWidth="1"/>
    <col min="3071" max="3071" width="83.42578125" style="20" customWidth="1"/>
    <col min="3072" max="3072" width="12.28515625" style="20" customWidth="1"/>
    <col min="3073" max="3073" width="14" style="20" customWidth="1"/>
    <col min="3074" max="3074" width="17.5703125" style="20" customWidth="1"/>
    <col min="3075" max="3075" width="12.5703125" style="20" customWidth="1"/>
    <col min="3076" max="3076" width="17.5703125" style="20" customWidth="1"/>
    <col min="3077" max="3077" width="19.28515625" style="20" customWidth="1"/>
    <col min="3078" max="3078" width="18.5703125" style="20" customWidth="1"/>
    <col min="3079" max="3083" width="9.140625" style="20"/>
    <col min="3084" max="3084" width="0" style="20" hidden="1" customWidth="1"/>
    <col min="3085" max="3325" width="9.140625" style="20"/>
    <col min="3326" max="3326" width="10.28515625" style="20" customWidth="1"/>
    <col min="3327" max="3327" width="83.42578125" style="20" customWidth="1"/>
    <col min="3328" max="3328" width="12.28515625" style="20" customWidth="1"/>
    <col min="3329" max="3329" width="14" style="20" customWidth="1"/>
    <col min="3330" max="3330" width="17.5703125" style="20" customWidth="1"/>
    <col min="3331" max="3331" width="12.5703125" style="20" customWidth="1"/>
    <col min="3332" max="3332" width="17.5703125" style="20" customWidth="1"/>
    <col min="3333" max="3333" width="19.28515625" style="20" customWidth="1"/>
    <col min="3334" max="3334" width="18.5703125" style="20" customWidth="1"/>
    <col min="3335" max="3339" width="9.140625" style="20"/>
    <col min="3340" max="3340" width="0" style="20" hidden="1" customWidth="1"/>
    <col min="3341" max="3581" width="9.140625" style="20"/>
    <col min="3582" max="3582" width="10.28515625" style="20" customWidth="1"/>
    <col min="3583" max="3583" width="83.42578125" style="20" customWidth="1"/>
    <col min="3584" max="3584" width="12.28515625" style="20" customWidth="1"/>
    <col min="3585" max="3585" width="14" style="20" customWidth="1"/>
    <col min="3586" max="3586" width="17.5703125" style="20" customWidth="1"/>
    <col min="3587" max="3587" width="12.5703125" style="20" customWidth="1"/>
    <col min="3588" max="3588" width="17.5703125" style="20" customWidth="1"/>
    <col min="3589" max="3589" width="19.28515625" style="20" customWidth="1"/>
    <col min="3590" max="3590" width="18.5703125" style="20" customWidth="1"/>
    <col min="3591" max="3595" width="9.140625" style="20"/>
    <col min="3596" max="3596" width="0" style="20" hidden="1" customWidth="1"/>
    <col min="3597" max="3837" width="9.140625" style="20"/>
    <col min="3838" max="3838" width="10.28515625" style="20" customWidth="1"/>
    <col min="3839" max="3839" width="83.42578125" style="20" customWidth="1"/>
    <col min="3840" max="3840" width="12.28515625" style="20" customWidth="1"/>
    <col min="3841" max="3841" width="14" style="20" customWidth="1"/>
    <col min="3842" max="3842" width="17.5703125" style="20" customWidth="1"/>
    <col min="3843" max="3843" width="12.5703125" style="20" customWidth="1"/>
    <col min="3844" max="3844" width="17.5703125" style="20" customWidth="1"/>
    <col min="3845" max="3845" width="19.28515625" style="20" customWidth="1"/>
    <col min="3846" max="3846" width="18.5703125" style="20" customWidth="1"/>
    <col min="3847" max="3851" width="9.140625" style="20"/>
    <col min="3852" max="3852" width="0" style="20" hidden="1" customWidth="1"/>
    <col min="3853" max="4093" width="9.140625" style="20"/>
    <col min="4094" max="4094" width="10.28515625" style="20" customWidth="1"/>
    <col min="4095" max="4095" width="83.42578125" style="20" customWidth="1"/>
    <col min="4096" max="4096" width="12.28515625" style="20" customWidth="1"/>
    <col min="4097" max="4097" width="14" style="20" customWidth="1"/>
    <col min="4098" max="4098" width="17.5703125" style="20" customWidth="1"/>
    <col min="4099" max="4099" width="12.5703125" style="20" customWidth="1"/>
    <col min="4100" max="4100" width="17.5703125" style="20" customWidth="1"/>
    <col min="4101" max="4101" width="19.28515625" style="20" customWidth="1"/>
    <col min="4102" max="4102" width="18.5703125" style="20" customWidth="1"/>
    <col min="4103" max="4107" width="9.140625" style="20"/>
    <col min="4108" max="4108" width="0" style="20" hidden="1" customWidth="1"/>
    <col min="4109" max="4349" width="9.140625" style="20"/>
    <col min="4350" max="4350" width="10.28515625" style="20" customWidth="1"/>
    <col min="4351" max="4351" width="83.42578125" style="20" customWidth="1"/>
    <col min="4352" max="4352" width="12.28515625" style="20" customWidth="1"/>
    <col min="4353" max="4353" width="14" style="20" customWidth="1"/>
    <col min="4354" max="4354" width="17.5703125" style="20" customWidth="1"/>
    <col min="4355" max="4355" width="12.5703125" style="20" customWidth="1"/>
    <col min="4356" max="4356" width="17.5703125" style="20" customWidth="1"/>
    <col min="4357" max="4357" width="19.28515625" style="20" customWidth="1"/>
    <col min="4358" max="4358" width="18.5703125" style="20" customWidth="1"/>
    <col min="4359" max="4363" width="9.140625" style="20"/>
    <col min="4364" max="4364" width="0" style="20" hidden="1" customWidth="1"/>
    <col min="4365" max="4605" width="9.140625" style="20"/>
    <col min="4606" max="4606" width="10.28515625" style="20" customWidth="1"/>
    <col min="4607" max="4607" width="83.42578125" style="20" customWidth="1"/>
    <col min="4608" max="4608" width="12.28515625" style="20" customWidth="1"/>
    <col min="4609" max="4609" width="14" style="20" customWidth="1"/>
    <col min="4610" max="4610" width="17.5703125" style="20" customWidth="1"/>
    <col min="4611" max="4611" width="12.5703125" style="20" customWidth="1"/>
    <col min="4612" max="4612" width="17.5703125" style="20" customWidth="1"/>
    <col min="4613" max="4613" width="19.28515625" style="20" customWidth="1"/>
    <col min="4614" max="4614" width="18.5703125" style="20" customWidth="1"/>
    <col min="4615" max="4619" width="9.140625" style="20"/>
    <col min="4620" max="4620" width="0" style="20" hidden="1" customWidth="1"/>
    <col min="4621" max="4861" width="9.140625" style="20"/>
    <col min="4862" max="4862" width="10.28515625" style="20" customWidth="1"/>
    <col min="4863" max="4863" width="83.42578125" style="20" customWidth="1"/>
    <col min="4864" max="4864" width="12.28515625" style="20" customWidth="1"/>
    <col min="4865" max="4865" width="14" style="20" customWidth="1"/>
    <col min="4866" max="4866" width="17.5703125" style="20" customWidth="1"/>
    <col min="4867" max="4867" width="12.5703125" style="20" customWidth="1"/>
    <col min="4868" max="4868" width="17.5703125" style="20" customWidth="1"/>
    <col min="4869" max="4869" width="19.28515625" style="20" customWidth="1"/>
    <col min="4870" max="4870" width="18.5703125" style="20" customWidth="1"/>
    <col min="4871" max="4875" width="9.140625" style="20"/>
    <col min="4876" max="4876" width="0" style="20" hidden="1" customWidth="1"/>
    <col min="4877" max="5117" width="9.140625" style="20"/>
    <col min="5118" max="5118" width="10.28515625" style="20" customWidth="1"/>
    <col min="5119" max="5119" width="83.42578125" style="20" customWidth="1"/>
    <col min="5120" max="5120" width="12.28515625" style="20" customWidth="1"/>
    <col min="5121" max="5121" width="14" style="20" customWidth="1"/>
    <col min="5122" max="5122" width="17.5703125" style="20" customWidth="1"/>
    <col min="5123" max="5123" width="12.5703125" style="20" customWidth="1"/>
    <col min="5124" max="5124" width="17.5703125" style="20" customWidth="1"/>
    <col min="5125" max="5125" width="19.28515625" style="20" customWidth="1"/>
    <col min="5126" max="5126" width="18.5703125" style="20" customWidth="1"/>
    <col min="5127" max="5131" width="9.140625" style="20"/>
    <col min="5132" max="5132" width="0" style="20" hidden="1" customWidth="1"/>
    <col min="5133" max="5373" width="9.140625" style="20"/>
    <col min="5374" max="5374" width="10.28515625" style="20" customWidth="1"/>
    <col min="5375" max="5375" width="83.42578125" style="20" customWidth="1"/>
    <col min="5376" max="5376" width="12.28515625" style="20" customWidth="1"/>
    <col min="5377" max="5377" width="14" style="20" customWidth="1"/>
    <col min="5378" max="5378" width="17.5703125" style="20" customWidth="1"/>
    <col min="5379" max="5379" width="12.5703125" style="20" customWidth="1"/>
    <col min="5380" max="5380" width="17.5703125" style="20" customWidth="1"/>
    <col min="5381" max="5381" width="19.28515625" style="20" customWidth="1"/>
    <col min="5382" max="5382" width="18.5703125" style="20" customWidth="1"/>
    <col min="5383" max="5387" width="9.140625" style="20"/>
    <col min="5388" max="5388" width="0" style="20" hidden="1" customWidth="1"/>
    <col min="5389" max="5629" width="9.140625" style="20"/>
    <col min="5630" max="5630" width="10.28515625" style="20" customWidth="1"/>
    <col min="5631" max="5631" width="83.42578125" style="20" customWidth="1"/>
    <col min="5632" max="5632" width="12.28515625" style="20" customWidth="1"/>
    <col min="5633" max="5633" width="14" style="20" customWidth="1"/>
    <col min="5634" max="5634" width="17.5703125" style="20" customWidth="1"/>
    <col min="5635" max="5635" width="12.5703125" style="20" customWidth="1"/>
    <col min="5636" max="5636" width="17.5703125" style="20" customWidth="1"/>
    <col min="5637" max="5637" width="19.28515625" style="20" customWidth="1"/>
    <col min="5638" max="5638" width="18.5703125" style="20" customWidth="1"/>
    <col min="5639" max="5643" width="9.140625" style="20"/>
    <col min="5644" max="5644" width="0" style="20" hidden="1" customWidth="1"/>
    <col min="5645" max="5885" width="9.140625" style="20"/>
    <col min="5886" max="5886" width="10.28515625" style="20" customWidth="1"/>
    <col min="5887" max="5887" width="83.42578125" style="20" customWidth="1"/>
    <col min="5888" max="5888" width="12.28515625" style="20" customWidth="1"/>
    <col min="5889" max="5889" width="14" style="20" customWidth="1"/>
    <col min="5890" max="5890" width="17.5703125" style="20" customWidth="1"/>
    <col min="5891" max="5891" width="12.5703125" style="20" customWidth="1"/>
    <col min="5892" max="5892" width="17.5703125" style="20" customWidth="1"/>
    <col min="5893" max="5893" width="19.28515625" style="20" customWidth="1"/>
    <col min="5894" max="5894" width="18.5703125" style="20" customWidth="1"/>
    <col min="5895" max="5899" width="9.140625" style="20"/>
    <col min="5900" max="5900" width="0" style="20" hidden="1" customWidth="1"/>
    <col min="5901" max="6141" width="9.140625" style="20"/>
    <col min="6142" max="6142" width="10.28515625" style="20" customWidth="1"/>
    <col min="6143" max="6143" width="83.42578125" style="20" customWidth="1"/>
    <col min="6144" max="6144" width="12.28515625" style="20" customWidth="1"/>
    <col min="6145" max="6145" width="14" style="20" customWidth="1"/>
    <col min="6146" max="6146" width="17.5703125" style="20" customWidth="1"/>
    <col min="6147" max="6147" width="12.5703125" style="20" customWidth="1"/>
    <col min="6148" max="6148" width="17.5703125" style="20" customWidth="1"/>
    <col min="6149" max="6149" width="19.28515625" style="20" customWidth="1"/>
    <col min="6150" max="6150" width="18.5703125" style="20" customWidth="1"/>
    <col min="6151" max="6155" width="9.140625" style="20"/>
    <col min="6156" max="6156" width="0" style="20" hidden="1" customWidth="1"/>
    <col min="6157" max="6397" width="9.140625" style="20"/>
    <col min="6398" max="6398" width="10.28515625" style="20" customWidth="1"/>
    <col min="6399" max="6399" width="83.42578125" style="20" customWidth="1"/>
    <col min="6400" max="6400" width="12.28515625" style="20" customWidth="1"/>
    <col min="6401" max="6401" width="14" style="20" customWidth="1"/>
    <col min="6402" max="6402" width="17.5703125" style="20" customWidth="1"/>
    <col min="6403" max="6403" width="12.5703125" style="20" customWidth="1"/>
    <col min="6404" max="6404" width="17.5703125" style="20" customWidth="1"/>
    <col min="6405" max="6405" width="19.28515625" style="20" customWidth="1"/>
    <col min="6406" max="6406" width="18.5703125" style="20" customWidth="1"/>
    <col min="6407" max="6411" width="9.140625" style="20"/>
    <col min="6412" max="6412" width="0" style="20" hidden="1" customWidth="1"/>
    <col min="6413" max="6653" width="9.140625" style="20"/>
    <col min="6654" max="6654" width="10.28515625" style="20" customWidth="1"/>
    <col min="6655" max="6655" width="83.42578125" style="20" customWidth="1"/>
    <col min="6656" max="6656" width="12.28515625" style="20" customWidth="1"/>
    <col min="6657" max="6657" width="14" style="20" customWidth="1"/>
    <col min="6658" max="6658" width="17.5703125" style="20" customWidth="1"/>
    <col min="6659" max="6659" width="12.5703125" style="20" customWidth="1"/>
    <col min="6660" max="6660" width="17.5703125" style="20" customWidth="1"/>
    <col min="6661" max="6661" width="19.28515625" style="20" customWidth="1"/>
    <col min="6662" max="6662" width="18.5703125" style="20" customWidth="1"/>
    <col min="6663" max="6667" width="9.140625" style="20"/>
    <col min="6668" max="6668" width="0" style="20" hidden="1" customWidth="1"/>
    <col min="6669" max="6909" width="9.140625" style="20"/>
    <col min="6910" max="6910" width="10.28515625" style="20" customWidth="1"/>
    <col min="6911" max="6911" width="83.42578125" style="20" customWidth="1"/>
    <col min="6912" max="6912" width="12.28515625" style="20" customWidth="1"/>
    <col min="6913" max="6913" width="14" style="20" customWidth="1"/>
    <col min="6914" max="6914" width="17.5703125" style="20" customWidth="1"/>
    <col min="6915" max="6915" width="12.5703125" style="20" customWidth="1"/>
    <col min="6916" max="6916" width="17.5703125" style="20" customWidth="1"/>
    <col min="6917" max="6917" width="19.28515625" style="20" customWidth="1"/>
    <col min="6918" max="6918" width="18.5703125" style="20" customWidth="1"/>
    <col min="6919" max="6923" width="9.140625" style="20"/>
    <col min="6924" max="6924" width="0" style="20" hidden="1" customWidth="1"/>
    <col min="6925" max="7165" width="9.140625" style="20"/>
    <col min="7166" max="7166" width="10.28515625" style="20" customWidth="1"/>
    <col min="7167" max="7167" width="83.42578125" style="20" customWidth="1"/>
    <col min="7168" max="7168" width="12.28515625" style="20" customWidth="1"/>
    <col min="7169" max="7169" width="14" style="20" customWidth="1"/>
    <col min="7170" max="7170" width="17.5703125" style="20" customWidth="1"/>
    <col min="7171" max="7171" width="12.5703125" style="20" customWidth="1"/>
    <col min="7172" max="7172" width="17.5703125" style="20" customWidth="1"/>
    <col min="7173" max="7173" width="19.28515625" style="20" customWidth="1"/>
    <col min="7174" max="7174" width="18.5703125" style="20" customWidth="1"/>
    <col min="7175" max="7179" width="9.140625" style="20"/>
    <col min="7180" max="7180" width="0" style="20" hidden="1" customWidth="1"/>
    <col min="7181" max="7421" width="9.140625" style="20"/>
    <col min="7422" max="7422" width="10.28515625" style="20" customWidth="1"/>
    <col min="7423" max="7423" width="83.42578125" style="20" customWidth="1"/>
    <col min="7424" max="7424" width="12.28515625" style="20" customWidth="1"/>
    <col min="7425" max="7425" width="14" style="20" customWidth="1"/>
    <col min="7426" max="7426" width="17.5703125" style="20" customWidth="1"/>
    <col min="7427" max="7427" width="12.5703125" style="20" customWidth="1"/>
    <col min="7428" max="7428" width="17.5703125" style="20" customWidth="1"/>
    <col min="7429" max="7429" width="19.28515625" style="20" customWidth="1"/>
    <col min="7430" max="7430" width="18.5703125" style="20" customWidth="1"/>
    <col min="7431" max="7435" width="9.140625" style="20"/>
    <col min="7436" max="7436" width="0" style="20" hidden="1" customWidth="1"/>
    <col min="7437" max="7677" width="9.140625" style="20"/>
    <col min="7678" max="7678" width="10.28515625" style="20" customWidth="1"/>
    <col min="7679" max="7679" width="83.42578125" style="20" customWidth="1"/>
    <col min="7680" max="7680" width="12.28515625" style="20" customWidth="1"/>
    <col min="7681" max="7681" width="14" style="20" customWidth="1"/>
    <col min="7682" max="7682" width="17.5703125" style="20" customWidth="1"/>
    <col min="7683" max="7683" width="12.5703125" style="20" customWidth="1"/>
    <col min="7684" max="7684" width="17.5703125" style="20" customWidth="1"/>
    <col min="7685" max="7685" width="19.28515625" style="20" customWidth="1"/>
    <col min="7686" max="7686" width="18.5703125" style="20" customWidth="1"/>
    <col min="7687" max="7691" width="9.140625" style="20"/>
    <col min="7692" max="7692" width="0" style="20" hidden="1" customWidth="1"/>
    <col min="7693" max="7933" width="9.140625" style="20"/>
    <col min="7934" max="7934" width="10.28515625" style="20" customWidth="1"/>
    <col min="7935" max="7935" width="83.42578125" style="20" customWidth="1"/>
    <col min="7936" max="7936" width="12.28515625" style="20" customWidth="1"/>
    <col min="7937" max="7937" width="14" style="20" customWidth="1"/>
    <col min="7938" max="7938" width="17.5703125" style="20" customWidth="1"/>
    <col min="7939" max="7939" width="12.5703125" style="20" customWidth="1"/>
    <col min="7940" max="7940" width="17.5703125" style="20" customWidth="1"/>
    <col min="7941" max="7941" width="19.28515625" style="20" customWidth="1"/>
    <col min="7942" max="7942" width="18.5703125" style="20" customWidth="1"/>
    <col min="7943" max="7947" width="9.140625" style="20"/>
    <col min="7948" max="7948" width="0" style="20" hidden="1" customWidth="1"/>
    <col min="7949" max="8189" width="9.140625" style="20"/>
    <col min="8190" max="8190" width="10.28515625" style="20" customWidth="1"/>
    <col min="8191" max="8191" width="83.42578125" style="20" customWidth="1"/>
    <col min="8192" max="8192" width="12.28515625" style="20" customWidth="1"/>
    <col min="8193" max="8193" width="14" style="20" customWidth="1"/>
    <col min="8194" max="8194" width="17.5703125" style="20" customWidth="1"/>
    <col min="8195" max="8195" width="12.5703125" style="20" customWidth="1"/>
    <col min="8196" max="8196" width="17.5703125" style="20" customWidth="1"/>
    <col min="8197" max="8197" width="19.28515625" style="20" customWidth="1"/>
    <col min="8198" max="8198" width="18.5703125" style="20" customWidth="1"/>
    <col min="8199" max="8203" width="9.140625" style="20"/>
    <col min="8204" max="8204" width="0" style="20" hidden="1" customWidth="1"/>
    <col min="8205" max="8445" width="9.140625" style="20"/>
    <col min="8446" max="8446" width="10.28515625" style="20" customWidth="1"/>
    <col min="8447" max="8447" width="83.42578125" style="20" customWidth="1"/>
    <col min="8448" max="8448" width="12.28515625" style="20" customWidth="1"/>
    <col min="8449" max="8449" width="14" style="20" customWidth="1"/>
    <col min="8450" max="8450" width="17.5703125" style="20" customWidth="1"/>
    <col min="8451" max="8451" width="12.5703125" style="20" customWidth="1"/>
    <col min="8452" max="8452" width="17.5703125" style="20" customWidth="1"/>
    <col min="8453" max="8453" width="19.28515625" style="20" customWidth="1"/>
    <col min="8454" max="8454" width="18.5703125" style="20" customWidth="1"/>
    <col min="8455" max="8459" width="9.140625" style="20"/>
    <col min="8460" max="8460" width="0" style="20" hidden="1" customWidth="1"/>
    <col min="8461" max="8701" width="9.140625" style="20"/>
    <col min="8702" max="8702" width="10.28515625" style="20" customWidth="1"/>
    <col min="8703" max="8703" width="83.42578125" style="20" customWidth="1"/>
    <col min="8704" max="8704" width="12.28515625" style="20" customWidth="1"/>
    <col min="8705" max="8705" width="14" style="20" customWidth="1"/>
    <col min="8706" max="8706" width="17.5703125" style="20" customWidth="1"/>
    <col min="8707" max="8707" width="12.5703125" style="20" customWidth="1"/>
    <col min="8708" max="8708" width="17.5703125" style="20" customWidth="1"/>
    <col min="8709" max="8709" width="19.28515625" style="20" customWidth="1"/>
    <col min="8710" max="8710" width="18.5703125" style="20" customWidth="1"/>
    <col min="8711" max="8715" width="9.140625" style="20"/>
    <col min="8716" max="8716" width="0" style="20" hidden="1" customWidth="1"/>
    <col min="8717" max="8957" width="9.140625" style="20"/>
    <col min="8958" max="8958" width="10.28515625" style="20" customWidth="1"/>
    <col min="8959" max="8959" width="83.42578125" style="20" customWidth="1"/>
    <col min="8960" max="8960" width="12.28515625" style="20" customWidth="1"/>
    <col min="8961" max="8961" width="14" style="20" customWidth="1"/>
    <col min="8962" max="8962" width="17.5703125" style="20" customWidth="1"/>
    <col min="8963" max="8963" width="12.5703125" style="20" customWidth="1"/>
    <col min="8964" max="8964" width="17.5703125" style="20" customWidth="1"/>
    <col min="8965" max="8965" width="19.28515625" style="20" customWidth="1"/>
    <col min="8966" max="8966" width="18.5703125" style="20" customWidth="1"/>
    <col min="8967" max="8971" width="9.140625" style="20"/>
    <col min="8972" max="8972" width="0" style="20" hidden="1" customWidth="1"/>
    <col min="8973" max="9213" width="9.140625" style="20"/>
    <col min="9214" max="9214" width="10.28515625" style="20" customWidth="1"/>
    <col min="9215" max="9215" width="83.42578125" style="20" customWidth="1"/>
    <col min="9216" max="9216" width="12.28515625" style="20" customWidth="1"/>
    <col min="9217" max="9217" width="14" style="20" customWidth="1"/>
    <col min="9218" max="9218" width="17.5703125" style="20" customWidth="1"/>
    <col min="9219" max="9219" width="12.5703125" style="20" customWidth="1"/>
    <col min="9220" max="9220" width="17.5703125" style="20" customWidth="1"/>
    <col min="9221" max="9221" width="19.28515625" style="20" customWidth="1"/>
    <col min="9222" max="9222" width="18.5703125" style="20" customWidth="1"/>
    <col min="9223" max="9227" width="9.140625" style="20"/>
    <col min="9228" max="9228" width="0" style="20" hidden="1" customWidth="1"/>
    <col min="9229" max="9469" width="9.140625" style="20"/>
    <col min="9470" max="9470" width="10.28515625" style="20" customWidth="1"/>
    <col min="9471" max="9471" width="83.42578125" style="20" customWidth="1"/>
    <col min="9472" max="9472" width="12.28515625" style="20" customWidth="1"/>
    <col min="9473" max="9473" width="14" style="20" customWidth="1"/>
    <col min="9474" max="9474" width="17.5703125" style="20" customWidth="1"/>
    <col min="9475" max="9475" width="12.5703125" style="20" customWidth="1"/>
    <col min="9476" max="9476" width="17.5703125" style="20" customWidth="1"/>
    <col min="9477" max="9477" width="19.28515625" style="20" customWidth="1"/>
    <col min="9478" max="9478" width="18.5703125" style="20" customWidth="1"/>
    <col min="9479" max="9483" width="9.140625" style="20"/>
    <col min="9484" max="9484" width="0" style="20" hidden="1" customWidth="1"/>
    <col min="9485" max="9725" width="9.140625" style="20"/>
    <col min="9726" max="9726" width="10.28515625" style="20" customWidth="1"/>
    <col min="9727" max="9727" width="83.42578125" style="20" customWidth="1"/>
    <col min="9728" max="9728" width="12.28515625" style="20" customWidth="1"/>
    <col min="9729" max="9729" width="14" style="20" customWidth="1"/>
    <col min="9730" max="9730" width="17.5703125" style="20" customWidth="1"/>
    <col min="9731" max="9731" width="12.5703125" style="20" customWidth="1"/>
    <col min="9732" max="9732" width="17.5703125" style="20" customWidth="1"/>
    <col min="9733" max="9733" width="19.28515625" style="20" customWidth="1"/>
    <col min="9734" max="9734" width="18.5703125" style="20" customWidth="1"/>
    <col min="9735" max="9739" width="9.140625" style="20"/>
    <col min="9740" max="9740" width="0" style="20" hidden="1" customWidth="1"/>
    <col min="9741" max="9981" width="9.140625" style="20"/>
    <col min="9982" max="9982" width="10.28515625" style="20" customWidth="1"/>
    <col min="9983" max="9983" width="83.42578125" style="20" customWidth="1"/>
    <col min="9984" max="9984" width="12.28515625" style="20" customWidth="1"/>
    <col min="9985" max="9985" width="14" style="20" customWidth="1"/>
    <col min="9986" max="9986" width="17.5703125" style="20" customWidth="1"/>
    <col min="9987" max="9987" width="12.5703125" style="20" customWidth="1"/>
    <col min="9988" max="9988" width="17.5703125" style="20" customWidth="1"/>
    <col min="9989" max="9989" width="19.28515625" style="20" customWidth="1"/>
    <col min="9990" max="9990" width="18.5703125" style="20" customWidth="1"/>
    <col min="9991" max="9995" width="9.140625" style="20"/>
    <col min="9996" max="9996" width="0" style="20" hidden="1" customWidth="1"/>
    <col min="9997" max="10237" width="9.140625" style="20"/>
    <col min="10238" max="10238" width="10.28515625" style="20" customWidth="1"/>
    <col min="10239" max="10239" width="83.42578125" style="20" customWidth="1"/>
    <col min="10240" max="10240" width="12.28515625" style="20" customWidth="1"/>
    <col min="10241" max="10241" width="14" style="20" customWidth="1"/>
    <col min="10242" max="10242" width="17.5703125" style="20" customWidth="1"/>
    <col min="10243" max="10243" width="12.5703125" style="20" customWidth="1"/>
    <col min="10244" max="10244" width="17.5703125" style="20" customWidth="1"/>
    <col min="10245" max="10245" width="19.28515625" style="20" customWidth="1"/>
    <col min="10246" max="10246" width="18.5703125" style="20" customWidth="1"/>
    <col min="10247" max="10251" width="9.140625" style="20"/>
    <col min="10252" max="10252" width="0" style="20" hidden="1" customWidth="1"/>
    <col min="10253" max="10493" width="9.140625" style="20"/>
    <col min="10494" max="10494" width="10.28515625" style="20" customWidth="1"/>
    <col min="10495" max="10495" width="83.42578125" style="20" customWidth="1"/>
    <col min="10496" max="10496" width="12.28515625" style="20" customWidth="1"/>
    <col min="10497" max="10497" width="14" style="20" customWidth="1"/>
    <col min="10498" max="10498" width="17.5703125" style="20" customWidth="1"/>
    <col min="10499" max="10499" width="12.5703125" style="20" customWidth="1"/>
    <col min="10500" max="10500" width="17.5703125" style="20" customWidth="1"/>
    <col min="10501" max="10501" width="19.28515625" style="20" customWidth="1"/>
    <col min="10502" max="10502" width="18.5703125" style="20" customWidth="1"/>
    <col min="10503" max="10507" width="9.140625" style="20"/>
    <col min="10508" max="10508" width="0" style="20" hidden="1" customWidth="1"/>
    <col min="10509" max="10749" width="9.140625" style="20"/>
    <col min="10750" max="10750" width="10.28515625" style="20" customWidth="1"/>
    <col min="10751" max="10751" width="83.42578125" style="20" customWidth="1"/>
    <col min="10752" max="10752" width="12.28515625" style="20" customWidth="1"/>
    <col min="10753" max="10753" width="14" style="20" customWidth="1"/>
    <col min="10754" max="10754" width="17.5703125" style="20" customWidth="1"/>
    <col min="10755" max="10755" width="12.5703125" style="20" customWidth="1"/>
    <col min="10756" max="10756" width="17.5703125" style="20" customWidth="1"/>
    <col min="10757" max="10757" width="19.28515625" style="20" customWidth="1"/>
    <col min="10758" max="10758" width="18.5703125" style="20" customWidth="1"/>
    <col min="10759" max="10763" width="9.140625" style="20"/>
    <col min="10764" max="10764" width="0" style="20" hidden="1" customWidth="1"/>
    <col min="10765" max="11005" width="9.140625" style="20"/>
    <col min="11006" max="11006" width="10.28515625" style="20" customWidth="1"/>
    <col min="11007" max="11007" width="83.42578125" style="20" customWidth="1"/>
    <col min="11008" max="11008" width="12.28515625" style="20" customWidth="1"/>
    <col min="11009" max="11009" width="14" style="20" customWidth="1"/>
    <col min="11010" max="11010" width="17.5703125" style="20" customWidth="1"/>
    <col min="11011" max="11011" width="12.5703125" style="20" customWidth="1"/>
    <col min="11012" max="11012" width="17.5703125" style="20" customWidth="1"/>
    <col min="11013" max="11013" width="19.28515625" style="20" customWidth="1"/>
    <col min="11014" max="11014" width="18.5703125" style="20" customWidth="1"/>
    <col min="11015" max="11019" width="9.140625" style="20"/>
    <col min="11020" max="11020" width="0" style="20" hidden="1" customWidth="1"/>
    <col min="11021" max="11261" width="9.140625" style="20"/>
    <col min="11262" max="11262" width="10.28515625" style="20" customWidth="1"/>
    <col min="11263" max="11263" width="83.42578125" style="20" customWidth="1"/>
    <col min="11264" max="11264" width="12.28515625" style="20" customWidth="1"/>
    <col min="11265" max="11265" width="14" style="20" customWidth="1"/>
    <col min="11266" max="11266" width="17.5703125" style="20" customWidth="1"/>
    <col min="11267" max="11267" width="12.5703125" style="20" customWidth="1"/>
    <col min="11268" max="11268" width="17.5703125" style="20" customWidth="1"/>
    <col min="11269" max="11269" width="19.28515625" style="20" customWidth="1"/>
    <col min="11270" max="11270" width="18.5703125" style="20" customWidth="1"/>
    <col min="11271" max="11275" width="9.140625" style="20"/>
    <col min="11276" max="11276" width="0" style="20" hidden="1" customWidth="1"/>
    <col min="11277" max="11517" width="9.140625" style="20"/>
    <col min="11518" max="11518" width="10.28515625" style="20" customWidth="1"/>
    <col min="11519" max="11519" width="83.42578125" style="20" customWidth="1"/>
    <col min="11520" max="11520" width="12.28515625" style="20" customWidth="1"/>
    <col min="11521" max="11521" width="14" style="20" customWidth="1"/>
    <col min="11522" max="11522" width="17.5703125" style="20" customWidth="1"/>
    <col min="11523" max="11523" width="12.5703125" style="20" customWidth="1"/>
    <col min="11524" max="11524" width="17.5703125" style="20" customWidth="1"/>
    <col min="11525" max="11525" width="19.28515625" style="20" customWidth="1"/>
    <col min="11526" max="11526" width="18.5703125" style="20" customWidth="1"/>
    <col min="11527" max="11531" width="9.140625" style="20"/>
    <col min="11532" max="11532" width="0" style="20" hidden="1" customWidth="1"/>
    <col min="11533" max="11773" width="9.140625" style="20"/>
    <col min="11774" max="11774" width="10.28515625" style="20" customWidth="1"/>
    <col min="11775" max="11775" width="83.42578125" style="20" customWidth="1"/>
    <col min="11776" max="11776" width="12.28515625" style="20" customWidth="1"/>
    <col min="11777" max="11777" width="14" style="20" customWidth="1"/>
    <col min="11778" max="11778" width="17.5703125" style="20" customWidth="1"/>
    <col min="11779" max="11779" width="12.5703125" style="20" customWidth="1"/>
    <col min="11780" max="11780" width="17.5703125" style="20" customWidth="1"/>
    <col min="11781" max="11781" width="19.28515625" style="20" customWidth="1"/>
    <col min="11782" max="11782" width="18.5703125" style="20" customWidth="1"/>
    <col min="11783" max="11787" width="9.140625" style="20"/>
    <col min="11788" max="11788" width="0" style="20" hidden="1" customWidth="1"/>
    <col min="11789" max="12029" width="9.140625" style="20"/>
    <col min="12030" max="12030" width="10.28515625" style="20" customWidth="1"/>
    <col min="12031" max="12031" width="83.42578125" style="20" customWidth="1"/>
    <col min="12032" max="12032" width="12.28515625" style="20" customWidth="1"/>
    <col min="12033" max="12033" width="14" style="20" customWidth="1"/>
    <col min="12034" max="12034" width="17.5703125" style="20" customWidth="1"/>
    <col min="12035" max="12035" width="12.5703125" style="20" customWidth="1"/>
    <col min="12036" max="12036" width="17.5703125" style="20" customWidth="1"/>
    <col min="12037" max="12037" width="19.28515625" style="20" customWidth="1"/>
    <col min="12038" max="12038" width="18.5703125" style="20" customWidth="1"/>
    <col min="12039" max="12043" width="9.140625" style="20"/>
    <col min="12044" max="12044" width="0" style="20" hidden="1" customWidth="1"/>
    <col min="12045" max="12285" width="9.140625" style="20"/>
    <col min="12286" max="12286" width="10.28515625" style="20" customWidth="1"/>
    <col min="12287" max="12287" width="83.42578125" style="20" customWidth="1"/>
    <col min="12288" max="12288" width="12.28515625" style="20" customWidth="1"/>
    <col min="12289" max="12289" width="14" style="20" customWidth="1"/>
    <col min="12290" max="12290" width="17.5703125" style="20" customWidth="1"/>
    <col min="12291" max="12291" width="12.5703125" style="20" customWidth="1"/>
    <col min="12292" max="12292" width="17.5703125" style="20" customWidth="1"/>
    <col min="12293" max="12293" width="19.28515625" style="20" customWidth="1"/>
    <col min="12294" max="12294" width="18.5703125" style="20" customWidth="1"/>
    <col min="12295" max="12299" width="9.140625" style="20"/>
    <col min="12300" max="12300" width="0" style="20" hidden="1" customWidth="1"/>
    <col min="12301" max="12541" width="9.140625" style="20"/>
    <col min="12542" max="12542" width="10.28515625" style="20" customWidth="1"/>
    <col min="12543" max="12543" width="83.42578125" style="20" customWidth="1"/>
    <col min="12544" max="12544" width="12.28515625" style="20" customWidth="1"/>
    <col min="12545" max="12545" width="14" style="20" customWidth="1"/>
    <col min="12546" max="12546" width="17.5703125" style="20" customWidth="1"/>
    <col min="12547" max="12547" width="12.5703125" style="20" customWidth="1"/>
    <col min="12548" max="12548" width="17.5703125" style="20" customWidth="1"/>
    <col min="12549" max="12549" width="19.28515625" style="20" customWidth="1"/>
    <col min="12550" max="12550" width="18.5703125" style="20" customWidth="1"/>
    <col min="12551" max="12555" width="9.140625" style="20"/>
    <col min="12556" max="12556" width="0" style="20" hidden="1" customWidth="1"/>
    <col min="12557" max="12797" width="9.140625" style="20"/>
    <col min="12798" max="12798" width="10.28515625" style="20" customWidth="1"/>
    <col min="12799" max="12799" width="83.42578125" style="20" customWidth="1"/>
    <col min="12800" max="12800" width="12.28515625" style="20" customWidth="1"/>
    <col min="12801" max="12801" width="14" style="20" customWidth="1"/>
    <col min="12802" max="12802" width="17.5703125" style="20" customWidth="1"/>
    <col min="12803" max="12803" width="12.5703125" style="20" customWidth="1"/>
    <col min="12804" max="12804" width="17.5703125" style="20" customWidth="1"/>
    <col min="12805" max="12805" width="19.28515625" style="20" customWidth="1"/>
    <col min="12806" max="12806" width="18.5703125" style="20" customWidth="1"/>
    <col min="12807" max="12811" width="9.140625" style="20"/>
    <col min="12812" max="12812" width="0" style="20" hidden="1" customWidth="1"/>
    <col min="12813" max="13053" width="9.140625" style="20"/>
    <col min="13054" max="13054" width="10.28515625" style="20" customWidth="1"/>
    <col min="13055" max="13055" width="83.42578125" style="20" customWidth="1"/>
    <col min="13056" max="13056" width="12.28515625" style="20" customWidth="1"/>
    <col min="13057" max="13057" width="14" style="20" customWidth="1"/>
    <col min="13058" max="13058" width="17.5703125" style="20" customWidth="1"/>
    <col min="13059" max="13059" width="12.5703125" style="20" customWidth="1"/>
    <col min="13060" max="13060" width="17.5703125" style="20" customWidth="1"/>
    <col min="13061" max="13061" width="19.28515625" style="20" customWidth="1"/>
    <col min="13062" max="13062" width="18.5703125" style="20" customWidth="1"/>
    <col min="13063" max="13067" width="9.140625" style="20"/>
    <col min="13068" max="13068" width="0" style="20" hidden="1" customWidth="1"/>
    <col min="13069" max="13309" width="9.140625" style="20"/>
    <col min="13310" max="13310" width="10.28515625" style="20" customWidth="1"/>
    <col min="13311" max="13311" width="83.42578125" style="20" customWidth="1"/>
    <col min="13312" max="13312" width="12.28515625" style="20" customWidth="1"/>
    <col min="13313" max="13313" width="14" style="20" customWidth="1"/>
    <col min="13314" max="13314" width="17.5703125" style="20" customWidth="1"/>
    <col min="13315" max="13315" width="12.5703125" style="20" customWidth="1"/>
    <col min="13316" max="13316" width="17.5703125" style="20" customWidth="1"/>
    <col min="13317" max="13317" width="19.28515625" style="20" customWidth="1"/>
    <col min="13318" max="13318" width="18.5703125" style="20" customWidth="1"/>
    <col min="13319" max="13323" width="9.140625" style="20"/>
    <col min="13324" max="13324" width="0" style="20" hidden="1" customWidth="1"/>
    <col min="13325" max="13565" width="9.140625" style="20"/>
    <col min="13566" max="13566" width="10.28515625" style="20" customWidth="1"/>
    <col min="13567" max="13567" width="83.42578125" style="20" customWidth="1"/>
    <col min="13568" max="13568" width="12.28515625" style="20" customWidth="1"/>
    <col min="13569" max="13569" width="14" style="20" customWidth="1"/>
    <col min="13570" max="13570" width="17.5703125" style="20" customWidth="1"/>
    <col min="13571" max="13571" width="12.5703125" style="20" customWidth="1"/>
    <col min="13572" max="13572" width="17.5703125" style="20" customWidth="1"/>
    <col min="13573" max="13573" width="19.28515625" style="20" customWidth="1"/>
    <col min="13574" max="13574" width="18.5703125" style="20" customWidth="1"/>
    <col min="13575" max="13579" width="9.140625" style="20"/>
    <col min="13580" max="13580" width="0" style="20" hidden="1" customWidth="1"/>
    <col min="13581" max="13821" width="9.140625" style="20"/>
    <col min="13822" max="13822" width="10.28515625" style="20" customWidth="1"/>
    <col min="13823" max="13823" width="83.42578125" style="20" customWidth="1"/>
    <col min="13824" max="13824" width="12.28515625" style="20" customWidth="1"/>
    <col min="13825" max="13825" width="14" style="20" customWidth="1"/>
    <col min="13826" max="13826" width="17.5703125" style="20" customWidth="1"/>
    <col min="13827" max="13827" width="12.5703125" style="20" customWidth="1"/>
    <col min="13828" max="13828" width="17.5703125" style="20" customWidth="1"/>
    <col min="13829" max="13829" width="19.28515625" style="20" customWidth="1"/>
    <col min="13830" max="13830" width="18.5703125" style="20" customWidth="1"/>
    <col min="13831" max="13835" width="9.140625" style="20"/>
    <col min="13836" max="13836" width="0" style="20" hidden="1" customWidth="1"/>
    <col min="13837" max="14077" width="9.140625" style="20"/>
    <col min="14078" max="14078" width="10.28515625" style="20" customWidth="1"/>
    <col min="14079" max="14079" width="83.42578125" style="20" customWidth="1"/>
    <col min="14080" max="14080" width="12.28515625" style="20" customWidth="1"/>
    <col min="14081" max="14081" width="14" style="20" customWidth="1"/>
    <col min="14082" max="14082" width="17.5703125" style="20" customWidth="1"/>
    <col min="14083" max="14083" width="12.5703125" style="20" customWidth="1"/>
    <col min="14084" max="14084" width="17.5703125" style="20" customWidth="1"/>
    <col min="14085" max="14085" width="19.28515625" style="20" customWidth="1"/>
    <col min="14086" max="14086" width="18.5703125" style="20" customWidth="1"/>
    <col min="14087" max="14091" width="9.140625" style="20"/>
    <col min="14092" max="14092" width="0" style="20" hidden="1" customWidth="1"/>
    <col min="14093" max="14333" width="9.140625" style="20"/>
    <col min="14334" max="14334" width="10.28515625" style="20" customWidth="1"/>
    <col min="14335" max="14335" width="83.42578125" style="20" customWidth="1"/>
    <col min="14336" max="14336" width="12.28515625" style="20" customWidth="1"/>
    <col min="14337" max="14337" width="14" style="20" customWidth="1"/>
    <col min="14338" max="14338" width="17.5703125" style="20" customWidth="1"/>
    <col min="14339" max="14339" width="12.5703125" style="20" customWidth="1"/>
    <col min="14340" max="14340" width="17.5703125" style="20" customWidth="1"/>
    <col min="14341" max="14341" width="19.28515625" style="20" customWidth="1"/>
    <col min="14342" max="14342" width="18.5703125" style="20" customWidth="1"/>
    <col min="14343" max="14347" width="9.140625" style="20"/>
    <col min="14348" max="14348" width="0" style="20" hidden="1" customWidth="1"/>
    <col min="14349" max="14589" width="9.140625" style="20"/>
    <col min="14590" max="14590" width="10.28515625" style="20" customWidth="1"/>
    <col min="14591" max="14591" width="83.42578125" style="20" customWidth="1"/>
    <col min="14592" max="14592" width="12.28515625" style="20" customWidth="1"/>
    <col min="14593" max="14593" width="14" style="20" customWidth="1"/>
    <col min="14594" max="14594" width="17.5703125" style="20" customWidth="1"/>
    <col min="14595" max="14595" width="12.5703125" style="20" customWidth="1"/>
    <col min="14596" max="14596" width="17.5703125" style="20" customWidth="1"/>
    <col min="14597" max="14597" width="19.28515625" style="20" customWidth="1"/>
    <col min="14598" max="14598" width="18.5703125" style="20" customWidth="1"/>
    <col min="14599" max="14603" width="9.140625" style="20"/>
    <col min="14604" max="14604" width="0" style="20" hidden="1" customWidth="1"/>
    <col min="14605" max="14845" width="9.140625" style="20"/>
    <col min="14846" max="14846" width="10.28515625" style="20" customWidth="1"/>
    <col min="14847" max="14847" width="83.42578125" style="20" customWidth="1"/>
    <col min="14848" max="14848" width="12.28515625" style="20" customWidth="1"/>
    <col min="14849" max="14849" width="14" style="20" customWidth="1"/>
    <col min="14850" max="14850" width="17.5703125" style="20" customWidth="1"/>
    <col min="14851" max="14851" width="12.5703125" style="20" customWidth="1"/>
    <col min="14852" max="14852" width="17.5703125" style="20" customWidth="1"/>
    <col min="14853" max="14853" width="19.28515625" style="20" customWidth="1"/>
    <col min="14854" max="14854" width="18.5703125" style="20" customWidth="1"/>
    <col min="14855" max="14859" width="9.140625" style="20"/>
    <col min="14860" max="14860" width="0" style="20" hidden="1" customWidth="1"/>
    <col min="14861" max="15101" width="9.140625" style="20"/>
    <col min="15102" max="15102" width="10.28515625" style="20" customWidth="1"/>
    <col min="15103" max="15103" width="83.42578125" style="20" customWidth="1"/>
    <col min="15104" max="15104" width="12.28515625" style="20" customWidth="1"/>
    <col min="15105" max="15105" width="14" style="20" customWidth="1"/>
    <col min="15106" max="15106" width="17.5703125" style="20" customWidth="1"/>
    <col min="15107" max="15107" width="12.5703125" style="20" customWidth="1"/>
    <col min="15108" max="15108" width="17.5703125" style="20" customWidth="1"/>
    <col min="15109" max="15109" width="19.28515625" style="20" customWidth="1"/>
    <col min="15110" max="15110" width="18.5703125" style="20" customWidth="1"/>
    <col min="15111" max="15115" width="9.140625" style="20"/>
    <col min="15116" max="15116" width="0" style="20" hidden="1" customWidth="1"/>
    <col min="15117" max="15357" width="9.140625" style="20"/>
    <col min="15358" max="15358" width="10.28515625" style="20" customWidth="1"/>
    <col min="15359" max="15359" width="83.42578125" style="20" customWidth="1"/>
    <col min="15360" max="15360" width="12.28515625" style="20" customWidth="1"/>
    <col min="15361" max="15361" width="14" style="20" customWidth="1"/>
    <col min="15362" max="15362" width="17.5703125" style="20" customWidth="1"/>
    <col min="15363" max="15363" width="12.5703125" style="20" customWidth="1"/>
    <col min="15364" max="15364" width="17.5703125" style="20" customWidth="1"/>
    <col min="15365" max="15365" width="19.28515625" style="20" customWidth="1"/>
    <col min="15366" max="15366" width="18.5703125" style="20" customWidth="1"/>
    <col min="15367" max="15371" width="9.140625" style="20"/>
    <col min="15372" max="15372" width="0" style="20" hidden="1" customWidth="1"/>
    <col min="15373" max="15613" width="9.140625" style="20"/>
    <col min="15614" max="15614" width="10.28515625" style="20" customWidth="1"/>
    <col min="15615" max="15615" width="83.42578125" style="20" customWidth="1"/>
    <col min="15616" max="15616" width="12.28515625" style="20" customWidth="1"/>
    <col min="15617" max="15617" width="14" style="20" customWidth="1"/>
    <col min="15618" max="15618" width="17.5703125" style="20" customWidth="1"/>
    <col min="15619" max="15619" width="12.5703125" style="20" customWidth="1"/>
    <col min="15620" max="15620" width="17.5703125" style="20" customWidth="1"/>
    <col min="15621" max="15621" width="19.28515625" style="20" customWidth="1"/>
    <col min="15622" max="15622" width="18.5703125" style="20" customWidth="1"/>
    <col min="15623" max="15627" width="9.140625" style="20"/>
    <col min="15628" max="15628" width="0" style="20" hidden="1" customWidth="1"/>
    <col min="15629" max="15869" width="9.140625" style="20"/>
    <col min="15870" max="15870" width="10.28515625" style="20" customWidth="1"/>
    <col min="15871" max="15871" width="83.42578125" style="20" customWidth="1"/>
    <col min="15872" max="15872" width="12.28515625" style="20" customWidth="1"/>
    <col min="15873" max="15873" width="14" style="20" customWidth="1"/>
    <col min="15874" max="15874" width="17.5703125" style="20" customWidth="1"/>
    <col min="15875" max="15875" width="12.5703125" style="20" customWidth="1"/>
    <col min="15876" max="15876" width="17.5703125" style="20" customWidth="1"/>
    <col min="15877" max="15877" width="19.28515625" style="20" customWidth="1"/>
    <col min="15878" max="15878" width="18.5703125" style="20" customWidth="1"/>
    <col min="15879" max="15883" width="9.140625" style="20"/>
    <col min="15884" max="15884" width="0" style="20" hidden="1" customWidth="1"/>
    <col min="15885" max="16125" width="9.140625" style="20"/>
    <col min="16126" max="16126" width="10.28515625" style="20" customWidth="1"/>
    <col min="16127" max="16127" width="83.42578125" style="20" customWidth="1"/>
    <col min="16128" max="16128" width="12.28515625" style="20" customWidth="1"/>
    <col min="16129" max="16129" width="14" style="20" customWidth="1"/>
    <col min="16130" max="16130" width="17.5703125" style="20" customWidth="1"/>
    <col min="16131" max="16131" width="12.5703125" style="20" customWidth="1"/>
    <col min="16132" max="16132" width="17.5703125" style="20" customWidth="1"/>
    <col min="16133" max="16133" width="19.28515625" style="20" customWidth="1"/>
    <col min="16134" max="16134" width="18.5703125" style="20" customWidth="1"/>
    <col min="16135" max="16139" width="9.140625" style="20"/>
    <col min="16140" max="16140" width="0" style="20" hidden="1" customWidth="1"/>
    <col min="16141" max="16384" width="9.140625" style="20"/>
  </cols>
  <sheetData>
    <row r="1" spans="1:12" x14ac:dyDescent="0.3">
      <c r="A1" s="212" t="s">
        <v>526</v>
      </c>
      <c r="B1" s="199"/>
      <c r="C1" s="199"/>
      <c r="D1" s="199"/>
      <c r="E1" s="199"/>
      <c r="F1" s="199"/>
      <c r="G1" s="199"/>
      <c r="H1" s="199"/>
      <c r="I1" s="199"/>
    </row>
    <row r="2" spans="1:12" ht="18.75" customHeight="1" x14ac:dyDescent="0.3">
      <c r="A2" s="213" t="s">
        <v>0</v>
      </c>
      <c r="B2" s="199"/>
      <c r="C2" s="199"/>
      <c r="D2" s="199"/>
      <c r="E2" s="199"/>
      <c r="F2" s="199"/>
      <c r="G2" s="199"/>
      <c r="H2" s="199"/>
      <c r="I2" s="199"/>
    </row>
    <row r="3" spans="1:12" x14ac:dyDescent="0.3">
      <c r="A3" s="213" t="s">
        <v>658</v>
      </c>
      <c r="B3" s="199"/>
      <c r="C3" s="199"/>
      <c r="D3" s="199"/>
      <c r="E3" s="199"/>
      <c r="F3" s="199"/>
      <c r="G3" s="199"/>
      <c r="H3" s="199"/>
      <c r="I3" s="199"/>
    </row>
    <row r="4" spans="1:12" ht="45" hidden="1" customHeight="1" x14ac:dyDescent="0.3">
      <c r="A4" s="175"/>
      <c r="B4" s="95"/>
      <c r="C4" s="207"/>
      <c r="D4" s="207"/>
      <c r="E4" s="207"/>
      <c r="F4" s="207"/>
      <c r="G4" s="207"/>
    </row>
    <row r="5" spans="1:12" ht="43.5" hidden="1" customHeight="1" x14ac:dyDescent="0.3">
      <c r="A5" s="176"/>
      <c r="B5" s="96"/>
      <c r="C5" s="207"/>
      <c r="D5" s="207"/>
      <c r="E5" s="207"/>
      <c r="F5" s="207"/>
      <c r="G5" s="207"/>
    </row>
    <row r="6" spans="1:12" ht="40.5" hidden="1" customHeight="1" x14ac:dyDescent="0.3">
      <c r="A6" s="177"/>
      <c r="B6" s="97"/>
      <c r="C6" s="214"/>
      <c r="D6" s="214"/>
      <c r="E6" s="214"/>
      <c r="F6" s="214"/>
      <c r="G6" s="214"/>
    </row>
    <row r="7" spans="1:12" ht="45.75" customHeight="1" x14ac:dyDescent="0.3">
      <c r="A7" s="209" t="s">
        <v>490</v>
      </c>
      <c r="B7" s="209"/>
      <c r="C7" s="209"/>
      <c r="D7" s="209"/>
      <c r="E7" s="209"/>
      <c r="F7" s="209"/>
      <c r="G7" s="209"/>
      <c r="H7" s="209"/>
      <c r="I7" s="209"/>
    </row>
    <row r="8" spans="1:12" ht="32.25" customHeight="1" x14ac:dyDescent="0.3">
      <c r="A8" s="210" t="s">
        <v>67</v>
      </c>
      <c r="B8" s="211"/>
      <c r="C8" s="211"/>
      <c r="D8" s="211"/>
      <c r="E8" s="211"/>
      <c r="F8" s="211"/>
      <c r="G8" s="211"/>
      <c r="H8" s="211"/>
      <c r="I8" s="211"/>
    </row>
    <row r="9" spans="1:12" ht="75.75" customHeight="1" x14ac:dyDescent="0.3">
      <c r="A9" s="1" t="s">
        <v>68</v>
      </c>
      <c r="B9" s="2" t="s">
        <v>69</v>
      </c>
      <c r="C9" s="3" t="s">
        <v>116</v>
      </c>
      <c r="D9" s="3" t="s">
        <v>70</v>
      </c>
      <c r="E9" s="3" t="s">
        <v>117</v>
      </c>
      <c r="F9" s="3" t="s">
        <v>118</v>
      </c>
      <c r="G9" s="4" t="s">
        <v>461</v>
      </c>
      <c r="H9" s="4" t="s">
        <v>474</v>
      </c>
      <c r="I9" s="4" t="s">
        <v>489</v>
      </c>
      <c r="K9" s="4"/>
      <c r="L9" s="4"/>
    </row>
    <row r="10" spans="1:12" s="6" customFormat="1" x14ac:dyDescent="0.25">
      <c r="A10" s="98"/>
      <c r="B10" s="99">
        <v>1</v>
      </c>
      <c r="C10" s="5">
        <v>2</v>
      </c>
      <c r="D10" s="5">
        <v>3</v>
      </c>
      <c r="E10" s="5">
        <v>4</v>
      </c>
      <c r="F10" s="5">
        <v>5</v>
      </c>
      <c r="G10" s="5">
        <v>6</v>
      </c>
      <c r="H10" s="5">
        <v>7</v>
      </c>
      <c r="I10" s="5">
        <v>8</v>
      </c>
      <c r="K10" s="5"/>
      <c r="L10" s="5"/>
    </row>
    <row r="11" spans="1:12" s="73" customFormat="1" ht="37.5" x14ac:dyDescent="0.3">
      <c r="A11" s="98">
        <v>1</v>
      </c>
      <c r="B11" s="100" t="s">
        <v>119</v>
      </c>
      <c r="C11" s="101">
        <v>810</v>
      </c>
      <c r="D11" s="101"/>
      <c r="E11" s="101"/>
      <c r="F11" s="101"/>
      <c r="G11" s="102">
        <f>G178</f>
        <v>15734680.5</v>
      </c>
      <c r="H11" s="102">
        <f>H178-H177</f>
        <v>59829652</v>
      </c>
      <c r="I11" s="102">
        <f>I178-I177</f>
        <v>7866296</v>
      </c>
      <c r="K11" s="102"/>
      <c r="L11" s="102"/>
    </row>
    <row r="12" spans="1:12" s="73" customFormat="1" x14ac:dyDescent="0.3">
      <c r="A12" s="98">
        <v>2</v>
      </c>
      <c r="B12" s="100" t="s">
        <v>120</v>
      </c>
      <c r="C12" s="71" t="s">
        <v>5</v>
      </c>
      <c r="D12" s="71" t="s">
        <v>72</v>
      </c>
      <c r="E12" s="71"/>
      <c r="F12" s="71"/>
      <c r="G12" s="72">
        <f>G13+G19+G25+G44+G50</f>
        <v>4817998.57</v>
      </c>
      <c r="H12" s="72">
        <f>H13+H19+H25+H44+H50</f>
        <v>3959906</v>
      </c>
      <c r="I12" s="72">
        <f>I13+I19+I25+I44+I50</f>
        <v>3905007</v>
      </c>
      <c r="K12" s="72"/>
      <c r="L12" s="72"/>
    </row>
    <row r="13" spans="1:12" s="6" customFormat="1" ht="37.5" x14ac:dyDescent="0.3">
      <c r="A13" s="98">
        <v>3</v>
      </c>
      <c r="B13" s="103" t="s">
        <v>73</v>
      </c>
      <c r="C13" s="75" t="s">
        <v>5</v>
      </c>
      <c r="D13" s="75" t="s">
        <v>74</v>
      </c>
      <c r="E13" s="75"/>
      <c r="F13" s="75"/>
      <c r="G13" s="76">
        <f>G14</f>
        <v>980565</v>
      </c>
      <c r="H13" s="76">
        <f t="shared" ref="H13:I17" si="0">H14</f>
        <v>940140</v>
      </c>
      <c r="I13" s="76">
        <f t="shared" si="0"/>
        <v>940140</v>
      </c>
      <c r="K13" s="76"/>
      <c r="L13" s="76"/>
    </row>
    <row r="14" spans="1:12" s="6" customFormat="1" x14ac:dyDescent="0.3">
      <c r="A14" s="98">
        <v>4</v>
      </c>
      <c r="B14" s="104" t="s">
        <v>121</v>
      </c>
      <c r="C14" s="75" t="s">
        <v>5</v>
      </c>
      <c r="D14" s="75" t="s">
        <v>74</v>
      </c>
      <c r="E14" s="105" t="s">
        <v>618</v>
      </c>
      <c r="F14" s="75"/>
      <c r="G14" s="76">
        <f>G15</f>
        <v>980565</v>
      </c>
      <c r="H14" s="76">
        <f t="shared" si="0"/>
        <v>940140</v>
      </c>
      <c r="I14" s="76">
        <f t="shared" si="0"/>
        <v>940140</v>
      </c>
      <c r="K14" s="76"/>
      <c r="L14" s="76"/>
    </row>
    <row r="15" spans="1:12" s="6" customFormat="1" ht="37.5" x14ac:dyDescent="0.3">
      <c r="A15" s="98">
        <v>5</v>
      </c>
      <c r="B15" s="104" t="s">
        <v>123</v>
      </c>
      <c r="C15" s="75" t="s">
        <v>5</v>
      </c>
      <c r="D15" s="75" t="s">
        <v>74</v>
      </c>
      <c r="E15" s="75" t="s">
        <v>617</v>
      </c>
      <c r="F15" s="75"/>
      <c r="G15" s="76">
        <f>G16</f>
        <v>980565</v>
      </c>
      <c r="H15" s="76">
        <f t="shared" si="0"/>
        <v>940140</v>
      </c>
      <c r="I15" s="76">
        <f t="shared" si="0"/>
        <v>940140</v>
      </c>
      <c r="K15" s="76"/>
      <c r="L15" s="76"/>
    </row>
    <row r="16" spans="1:12" s="6" customFormat="1" ht="37.5" x14ac:dyDescent="0.3">
      <c r="A16" s="98">
        <v>6</v>
      </c>
      <c r="B16" s="21" t="s">
        <v>125</v>
      </c>
      <c r="C16" s="75" t="s">
        <v>5</v>
      </c>
      <c r="D16" s="75" t="s">
        <v>74</v>
      </c>
      <c r="E16" s="75" t="s">
        <v>619</v>
      </c>
      <c r="F16" s="75"/>
      <c r="G16" s="76">
        <f>G17</f>
        <v>980565</v>
      </c>
      <c r="H16" s="76">
        <f t="shared" si="0"/>
        <v>940140</v>
      </c>
      <c r="I16" s="76">
        <f t="shared" si="0"/>
        <v>940140</v>
      </c>
      <c r="K16" s="76"/>
      <c r="L16" s="76"/>
    </row>
    <row r="17" spans="1:12" s="6" customFormat="1" ht="75" x14ac:dyDescent="0.3">
      <c r="A17" s="98">
        <v>7</v>
      </c>
      <c r="B17" s="104" t="s">
        <v>127</v>
      </c>
      <c r="C17" s="74" t="s">
        <v>5</v>
      </c>
      <c r="D17" s="74" t="s">
        <v>74</v>
      </c>
      <c r="E17" s="75" t="s">
        <v>619</v>
      </c>
      <c r="F17" s="74" t="s">
        <v>128</v>
      </c>
      <c r="G17" s="76">
        <f>G18</f>
        <v>980565</v>
      </c>
      <c r="H17" s="76">
        <f t="shared" si="0"/>
        <v>940140</v>
      </c>
      <c r="I17" s="76">
        <f t="shared" si="0"/>
        <v>940140</v>
      </c>
      <c r="K17" s="76"/>
      <c r="L17" s="76"/>
    </row>
    <row r="18" spans="1:12" s="6" customFormat="1" ht="37.5" x14ac:dyDescent="0.3">
      <c r="A18" s="98">
        <v>8</v>
      </c>
      <c r="B18" s="104" t="s">
        <v>129</v>
      </c>
      <c r="C18" s="74" t="s">
        <v>5</v>
      </c>
      <c r="D18" s="74" t="s">
        <v>74</v>
      </c>
      <c r="E18" s="75" t="s">
        <v>619</v>
      </c>
      <c r="F18" s="74" t="s">
        <v>130</v>
      </c>
      <c r="G18" s="76">
        <f>722075+10+218055+31050+9375</f>
        <v>980565</v>
      </c>
      <c r="H18" s="76">
        <v>940140</v>
      </c>
      <c r="I18" s="76">
        <f>H18</f>
        <v>940140</v>
      </c>
      <c r="K18" s="76">
        <f>722075+10+218055</f>
        <v>940140</v>
      </c>
      <c r="L18" s="76">
        <f>G18-K18</f>
        <v>40425</v>
      </c>
    </row>
    <row r="19" spans="1:12" s="6" customFormat="1" ht="37.5" x14ac:dyDescent="0.3">
      <c r="A19" s="98">
        <v>9</v>
      </c>
      <c r="B19" s="104" t="s">
        <v>131</v>
      </c>
      <c r="C19" s="74" t="s">
        <v>5</v>
      </c>
      <c r="D19" s="74" t="s">
        <v>76</v>
      </c>
      <c r="E19" s="75"/>
      <c r="F19" s="74"/>
      <c r="G19" s="76">
        <f>G20</f>
        <v>5000</v>
      </c>
      <c r="H19" s="76">
        <f t="shared" ref="H19:I23" si="1">H20</f>
        <v>0</v>
      </c>
      <c r="I19" s="76">
        <f t="shared" si="1"/>
        <v>0</v>
      </c>
      <c r="K19" s="76"/>
      <c r="L19" s="76"/>
    </row>
    <row r="20" spans="1:12" s="6" customFormat="1" x14ac:dyDescent="0.3">
      <c r="A20" s="98">
        <v>10</v>
      </c>
      <c r="B20" s="104" t="s">
        <v>121</v>
      </c>
      <c r="C20" s="74" t="s">
        <v>5</v>
      </c>
      <c r="D20" s="74" t="s">
        <v>76</v>
      </c>
      <c r="E20" s="105" t="s">
        <v>618</v>
      </c>
      <c r="F20" s="74"/>
      <c r="G20" s="76">
        <f>G21</f>
        <v>5000</v>
      </c>
      <c r="H20" s="76">
        <f t="shared" si="1"/>
        <v>0</v>
      </c>
      <c r="I20" s="76">
        <f t="shared" si="1"/>
        <v>0</v>
      </c>
      <c r="K20" s="76"/>
      <c r="L20" s="76"/>
    </row>
    <row r="21" spans="1:12" s="6" customFormat="1" ht="56.25" x14ac:dyDescent="0.3">
      <c r="A21" s="98">
        <v>11</v>
      </c>
      <c r="B21" s="104" t="s">
        <v>132</v>
      </c>
      <c r="C21" s="74" t="s">
        <v>5</v>
      </c>
      <c r="D21" s="74" t="s">
        <v>76</v>
      </c>
      <c r="E21" s="75" t="s">
        <v>620</v>
      </c>
      <c r="F21" s="74"/>
      <c r="G21" s="76">
        <f>G22</f>
        <v>5000</v>
      </c>
      <c r="H21" s="76">
        <f t="shared" si="1"/>
        <v>0</v>
      </c>
      <c r="I21" s="76">
        <f t="shared" si="1"/>
        <v>0</v>
      </c>
      <c r="K21" s="76"/>
      <c r="L21" s="76"/>
    </row>
    <row r="22" spans="1:12" s="6" customFormat="1" ht="56.25" x14ac:dyDescent="0.3">
      <c r="A22" s="98">
        <v>12</v>
      </c>
      <c r="B22" s="104" t="s">
        <v>134</v>
      </c>
      <c r="C22" s="74" t="s">
        <v>5</v>
      </c>
      <c r="D22" s="74" t="s">
        <v>76</v>
      </c>
      <c r="E22" s="75" t="s">
        <v>621</v>
      </c>
      <c r="F22" s="74"/>
      <c r="G22" s="76">
        <f>G23</f>
        <v>5000</v>
      </c>
      <c r="H22" s="76">
        <f t="shared" si="1"/>
        <v>0</v>
      </c>
      <c r="I22" s="76">
        <f t="shared" si="1"/>
        <v>0</v>
      </c>
      <c r="K22" s="76"/>
      <c r="L22" s="76"/>
    </row>
    <row r="23" spans="1:12" s="6" customFormat="1" ht="75" x14ac:dyDescent="0.3">
      <c r="A23" s="98">
        <v>13</v>
      </c>
      <c r="B23" s="104" t="s">
        <v>127</v>
      </c>
      <c r="C23" s="74" t="s">
        <v>5</v>
      </c>
      <c r="D23" s="74" t="s">
        <v>76</v>
      </c>
      <c r="E23" s="75" t="s">
        <v>621</v>
      </c>
      <c r="F23" s="74" t="s">
        <v>128</v>
      </c>
      <c r="G23" s="76">
        <f>G24</f>
        <v>5000</v>
      </c>
      <c r="H23" s="76">
        <f t="shared" si="1"/>
        <v>0</v>
      </c>
      <c r="I23" s="76">
        <f t="shared" si="1"/>
        <v>0</v>
      </c>
      <c r="K23" s="76"/>
      <c r="L23" s="76"/>
    </row>
    <row r="24" spans="1:12" s="6" customFormat="1" ht="37.5" x14ac:dyDescent="0.3">
      <c r="A24" s="98">
        <v>14</v>
      </c>
      <c r="B24" s="104" t="s">
        <v>129</v>
      </c>
      <c r="C24" s="74" t="s">
        <v>5</v>
      </c>
      <c r="D24" s="74" t="s">
        <v>76</v>
      </c>
      <c r="E24" s="75" t="s">
        <v>621</v>
      </c>
      <c r="F24" s="74" t="s">
        <v>130</v>
      </c>
      <c r="G24" s="76">
        <v>5000</v>
      </c>
      <c r="H24" s="76">
        <v>0</v>
      </c>
      <c r="I24" s="76">
        <v>0</v>
      </c>
      <c r="K24" s="76">
        <v>5000</v>
      </c>
      <c r="L24" s="76">
        <f>G24-K24</f>
        <v>0</v>
      </c>
    </row>
    <row r="25" spans="1:12" s="6" customFormat="1" x14ac:dyDescent="0.3">
      <c r="A25" s="98">
        <v>15</v>
      </c>
      <c r="B25" s="106" t="s">
        <v>77</v>
      </c>
      <c r="C25" s="75" t="s">
        <v>5</v>
      </c>
      <c r="D25" s="75" t="s">
        <v>78</v>
      </c>
      <c r="E25" s="75"/>
      <c r="F25" s="74"/>
      <c r="G25" s="76">
        <f>G26</f>
        <v>3782133.57</v>
      </c>
      <c r="H25" s="76">
        <f t="shared" ref="H25:I26" si="2">H26</f>
        <v>3006966</v>
      </c>
      <c r="I25" s="76">
        <f t="shared" si="2"/>
        <v>2952067</v>
      </c>
      <c r="K25" s="76"/>
      <c r="L25" s="76"/>
    </row>
    <row r="26" spans="1:12" s="6" customFormat="1" x14ac:dyDescent="0.3">
      <c r="A26" s="98">
        <v>16</v>
      </c>
      <c r="B26" s="104" t="s">
        <v>121</v>
      </c>
      <c r="C26" s="75" t="s">
        <v>5</v>
      </c>
      <c r="D26" s="75" t="s">
        <v>78</v>
      </c>
      <c r="E26" s="105" t="s">
        <v>618</v>
      </c>
      <c r="F26" s="74"/>
      <c r="G26" s="76">
        <f>G27</f>
        <v>3782133.57</v>
      </c>
      <c r="H26" s="76">
        <f t="shared" si="2"/>
        <v>3006966</v>
      </c>
      <c r="I26" s="76">
        <f t="shared" si="2"/>
        <v>2952067</v>
      </c>
      <c r="K26" s="76"/>
      <c r="L26" s="76"/>
    </row>
    <row r="27" spans="1:12" s="6" customFormat="1" ht="37.5" x14ac:dyDescent="0.3">
      <c r="A27" s="98">
        <v>17</v>
      </c>
      <c r="B27" s="21" t="s">
        <v>123</v>
      </c>
      <c r="C27" s="75" t="s">
        <v>5</v>
      </c>
      <c r="D27" s="75" t="s">
        <v>78</v>
      </c>
      <c r="E27" s="75" t="s">
        <v>617</v>
      </c>
      <c r="F27" s="74"/>
      <c r="G27" s="76">
        <f>G28+G35+G38+G43</f>
        <v>3782133.57</v>
      </c>
      <c r="H27" s="76">
        <f>H28+H35+H38+H43</f>
        <v>3006966</v>
      </c>
      <c r="I27" s="76">
        <f>I28+I35+I38+I43</f>
        <v>2952067</v>
      </c>
      <c r="K27" s="76"/>
      <c r="L27" s="76"/>
    </row>
    <row r="28" spans="1:12" s="6" customFormat="1" ht="56.25" x14ac:dyDescent="0.3">
      <c r="A28" s="98">
        <v>18</v>
      </c>
      <c r="B28" s="21" t="s">
        <v>136</v>
      </c>
      <c r="C28" s="74" t="s">
        <v>5</v>
      </c>
      <c r="D28" s="74" t="s">
        <v>78</v>
      </c>
      <c r="E28" s="75" t="s">
        <v>616</v>
      </c>
      <c r="F28" s="74"/>
      <c r="G28" s="76">
        <f>G29+G31+G33</f>
        <v>2199432.5699999998</v>
      </c>
      <c r="H28" s="76">
        <f t="shared" ref="H28:I28" si="3">H29+H31+H33</f>
        <v>1598601</v>
      </c>
      <c r="I28" s="76">
        <f t="shared" si="3"/>
        <v>1543702</v>
      </c>
      <c r="K28" s="76"/>
      <c r="L28" s="76"/>
    </row>
    <row r="29" spans="1:12" s="6" customFormat="1" ht="75" x14ac:dyDescent="0.3">
      <c r="A29" s="98">
        <v>19</v>
      </c>
      <c r="B29" s="21" t="s">
        <v>127</v>
      </c>
      <c r="C29" s="74" t="s">
        <v>5</v>
      </c>
      <c r="D29" s="74" t="s">
        <v>78</v>
      </c>
      <c r="E29" s="75" t="s">
        <v>616</v>
      </c>
      <c r="F29" s="74" t="s">
        <v>128</v>
      </c>
      <c r="G29" s="76">
        <f>G30</f>
        <v>1183154</v>
      </c>
      <c r="H29" s="76">
        <f>H30</f>
        <v>1119300</v>
      </c>
      <c r="I29" s="76">
        <f>I30</f>
        <v>1119300</v>
      </c>
      <c r="K29" s="76"/>
      <c r="L29" s="76"/>
    </row>
    <row r="30" spans="1:12" s="6" customFormat="1" ht="37.5" x14ac:dyDescent="0.3">
      <c r="A30" s="98">
        <v>20</v>
      </c>
      <c r="B30" s="104" t="s">
        <v>129</v>
      </c>
      <c r="C30" s="74" t="s">
        <v>5</v>
      </c>
      <c r="D30" s="74" t="s">
        <v>78</v>
      </c>
      <c r="E30" s="75" t="s">
        <v>616</v>
      </c>
      <c r="F30" s="74" t="s">
        <v>130</v>
      </c>
      <c r="G30" s="76">
        <f>1119300+53950+16290-6386</f>
        <v>1183154</v>
      </c>
      <c r="H30" s="76">
        <v>1119300</v>
      </c>
      <c r="I30" s="76">
        <f>H30</f>
        <v>1119300</v>
      </c>
      <c r="K30" s="76">
        <f>854655+5130+1000+5000+253515</f>
        <v>1119300</v>
      </c>
      <c r="L30" s="76">
        <f>G30-K30</f>
        <v>63854</v>
      </c>
    </row>
    <row r="31" spans="1:12" s="6" customFormat="1" ht="37.5" x14ac:dyDescent="0.3">
      <c r="A31" s="98">
        <v>21</v>
      </c>
      <c r="B31" s="104" t="s">
        <v>138</v>
      </c>
      <c r="C31" s="74" t="s">
        <v>5</v>
      </c>
      <c r="D31" s="74" t="s">
        <v>78</v>
      </c>
      <c r="E31" s="75" t="s">
        <v>616</v>
      </c>
      <c r="F31" s="74" t="s">
        <v>139</v>
      </c>
      <c r="G31" s="76">
        <f>G32</f>
        <v>1011278.57</v>
      </c>
      <c r="H31" s="76">
        <f>H32</f>
        <v>479301</v>
      </c>
      <c r="I31" s="76">
        <f>I32</f>
        <v>424402</v>
      </c>
      <c r="K31" s="76"/>
      <c r="L31" s="76"/>
    </row>
    <row r="32" spans="1:12" s="6" customFormat="1" ht="37.5" x14ac:dyDescent="0.3">
      <c r="A32" s="98">
        <v>22</v>
      </c>
      <c r="B32" s="104" t="s">
        <v>140</v>
      </c>
      <c r="C32" s="74" t="s">
        <v>5</v>
      </c>
      <c r="D32" s="74" t="s">
        <v>78</v>
      </c>
      <c r="E32" s="75" t="s">
        <v>616</v>
      </c>
      <c r="F32" s="74" t="s">
        <v>141</v>
      </c>
      <c r="G32" s="76">
        <v>1011278.57</v>
      </c>
      <c r="H32" s="158">
        <f>241343+75000+167903+1000-10463+38335-260000-33817+260000</f>
        <v>479301</v>
      </c>
      <c r="I32" s="158">
        <f>311183+75000+44164-10463+38335-33817</f>
        <v>424402</v>
      </c>
      <c r="K32" s="76">
        <f>118000+16000+43100+168000+25000+542997+68918.5-27000+80000+27000</f>
        <v>1062015.5</v>
      </c>
      <c r="L32" s="76">
        <f>G32-K32</f>
        <v>-50736.93</v>
      </c>
    </row>
    <row r="33" spans="1:12" s="6" customFormat="1" x14ac:dyDescent="0.3">
      <c r="A33" s="98">
        <v>23</v>
      </c>
      <c r="B33" s="104" t="s">
        <v>142</v>
      </c>
      <c r="C33" s="74" t="s">
        <v>5</v>
      </c>
      <c r="D33" s="74" t="s">
        <v>78</v>
      </c>
      <c r="E33" s="75" t="s">
        <v>616</v>
      </c>
      <c r="F33" s="74" t="s">
        <v>143</v>
      </c>
      <c r="G33" s="76">
        <f>G34</f>
        <v>5000</v>
      </c>
      <c r="H33" s="76">
        <f>H34</f>
        <v>0</v>
      </c>
      <c r="I33" s="76">
        <f>I34</f>
        <v>0</v>
      </c>
      <c r="K33" s="76"/>
      <c r="L33" s="76"/>
    </row>
    <row r="34" spans="1:12" s="6" customFormat="1" x14ac:dyDescent="0.3">
      <c r="A34" s="98">
        <v>24</v>
      </c>
      <c r="B34" s="104" t="s">
        <v>144</v>
      </c>
      <c r="C34" s="74" t="s">
        <v>5</v>
      </c>
      <c r="D34" s="74" t="s">
        <v>78</v>
      </c>
      <c r="E34" s="75" t="s">
        <v>616</v>
      </c>
      <c r="F34" s="74" t="s">
        <v>145</v>
      </c>
      <c r="G34" s="76">
        <v>5000</v>
      </c>
      <c r="H34" s="158">
        <v>0</v>
      </c>
      <c r="I34" s="158">
        <v>0</v>
      </c>
      <c r="K34" s="76">
        <f>5000</f>
        <v>5000</v>
      </c>
      <c r="L34" s="76">
        <f>G34-K34</f>
        <v>0</v>
      </c>
    </row>
    <row r="35" spans="1:12" s="6" customFormat="1" ht="56.25" x14ac:dyDescent="0.3">
      <c r="A35" s="98">
        <v>25</v>
      </c>
      <c r="B35" s="104" t="s">
        <v>536</v>
      </c>
      <c r="C35" s="74" t="s">
        <v>5</v>
      </c>
      <c r="D35" s="74" t="s">
        <v>78</v>
      </c>
      <c r="E35" s="75" t="s">
        <v>615</v>
      </c>
      <c r="F35" s="74"/>
      <c r="G35" s="76">
        <f t="shared" ref="G35:I36" si="4">G36</f>
        <v>1327820</v>
      </c>
      <c r="H35" s="158">
        <f t="shared" si="4"/>
        <v>1259870</v>
      </c>
      <c r="I35" s="158">
        <f t="shared" si="4"/>
        <v>1259870</v>
      </c>
      <c r="K35" s="76"/>
      <c r="L35" s="76"/>
    </row>
    <row r="36" spans="1:12" s="6" customFormat="1" ht="75" x14ac:dyDescent="0.3">
      <c r="A36" s="98">
        <v>26</v>
      </c>
      <c r="B36" s="104" t="s">
        <v>539</v>
      </c>
      <c r="C36" s="74" t="s">
        <v>5</v>
      </c>
      <c r="D36" s="74" t="s">
        <v>78</v>
      </c>
      <c r="E36" s="75" t="s">
        <v>615</v>
      </c>
      <c r="F36" s="74" t="s">
        <v>128</v>
      </c>
      <c r="G36" s="76">
        <f t="shared" si="4"/>
        <v>1327820</v>
      </c>
      <c r="H36" s="76">
        <f t="shared" si="4"/>
        <v>1259870</v>
      </c>
      <c r="I36" s="76">
        <f t="shared" si="4"/>
        <v>1259870</v>
      </c>
      <c r="K36" s="76"/>
      <c r="L36" s="76"/>
    </row>
    <row r="37" spans="1:12" s="6" customFormat="1" ht="37.5" x14ac:dyDescent="0.3">
      <c r="A37" s="98">
        <v>27</v>
      </c>
      <c r="B37" s="104" t="s">
        <v>129</v>
      </c>
      <c r="C37" s="74" t="s">
        <v>5</v>
      </c>
      <c r="D37" s="74" t="s">
        <v>78</v>
      </c>
      <c r="E37" s="75" t="s">
        <v>615</v>
      </c>
      <c r="F37" s="74" t="s">
        <v>130</v>
      </c>
      <c r="G37" s="76">
        <f>967640+292230+67950</f>
        <v>1327820</v>
      </c>
      <c r="H37" s="76">
        <v>1259870</v>
      </c>
      <c r="I37" s="76">
        <v>1259870</v>
      </c>
      <c r="K37" s="76">
        <f>1014821+5100+307899</f>
        <v>1327820</v>
      </c>
      <c r="L37" s="76">
        <f>G37-K37</f>
        <v>0</v>
      </c>
    </row>
    <row r="38" spans="1:12" s="6" customFormat="1" ht="37.5" x14ac:dyDescent="0.3">
      <c r="A38" s="98">
        <v>28</v>
      </c>
      <c r="B38" s="104" t="s">
        <v>538</v>
      </c>
      <c r="C38" s="74" t="s">
        <v>5</v>
      </c>
      <c r="D38" s="74" t="s">
        <v>78</v>
      </c>
      <c r="E38" s="75" t="s">
        <v>537</v>
      </c>
      <c r="F38" s="74"/>
      <c r="G38" s="76">
        <f t="shared" ref="G38:I39" si="5">G39</f>
        <v>154881</v>
      </c>
      <c r="H38" s="76">
        <f t="shared" si="5"/>
        <v>148495</v>
      </c>
      <c r="I38" s="76">
        <f t="shared" si="5"/>
        <v>148495</v>
      </c>
      <c r="K38" s="76"/>
      <c r="L38" s="76"/>
    </row>
    <row r="39" spans="1:12" s="6" customFormat="1" ht="36.75" customHeight="1" x14ac:dyDescent="0.3">
      <c r="A39" s="98">
        <v>29</v>
      </c>
      <c r="B39" s="104" t="s">
        <v>539</v>
      </c>
      <c r="C39" s="74" t="s">
        <v>5</v>
      </c>
      <c r="D39" s="74" t="s">
        <v>78</v>
      </c>
      <c r="E39" s="75" t="s">
        <v>537</v>
      </c>
      <c r="F39" s="74" t="s">
        <v>128</v>
      </c>
      <c r="G39" s="76">
        <f t="shared" si="5"/>
        <v>154881</v>
      </c>
      <c r="H39" s="76">
        <f t="shared" si="5"/>
        <v>148495</v>
      </c>
      <c r="I39" s="76">
        <f t="shared" si="5"/>
        <v>148495</v>
      </c>
      <c r="K39" s="76"/>
      <c r="L39" s="76"/>
    </row>
    <row r="40" spans="1:12" s="6" customFormat="1" ht="37.5" x14ac:dyDescent="0.3">
      <c r="A40" s="98">
        <v>30</v>
      </c>
      <c r="B40" s="104" t="s">
        <v>129</v>
      </c>
      <c r="C40" s="74" t="s">
        <v>5</v>
      </c>
      <c r="D40" s="74" t="s">
        <v>78</v>
      </c>
      <c r="E40" s="75" t="s">
        <v>537</v>
      </c>
      <c r="F40" s="74" t="s">
        <v>130</v>
      </c>
      <c r="G40" s="76">
        <f>148495+6386</f>
        <v>154881</v>
      </c>
      <c r="H40" s="76">
        <f>148495</f>
        <v>148495</v>
      </c>
      <c r="I40" s="76">
        <f>148495</f>
        <v>148495</v>
      </c>
      <c r="K40" s="76">
        <f>114051+34444</f>
        <v>148495</v>
      </c>
      <c r="L40" s="76">
        <f>G40-K40</f>
        <v>6386</v>
      </c>
    </row>
    <row r="41" spans="1:12" s="6" customFormat="1" ht="37.5" x14ac:dyDescent="0.3">
      <c r="A41" s="98">
        <v>31</v>
      </c>
      <c r="B41" s="104" t="s">
        <v>614</v>
      </c>
      <c r="C41" s="75" t="s">
        <v>5</v>
      </c>
      <c r="D41" s="74" t="s">
        <v>78</v>
      </c>
      <c r="E41" s="75" t="s">
        <v>606</v>
      </c>
      <c r="F41" s="74"/>
      <c r="G41" s="76">
        <f t="shared" ref="G41:I41" si="6">G42</f>
        <v>100000</v>
      </c>
      <c r="H41" s="76">
        <f t="shared" si="6"/>
        <v>0</v>
      </c>
      <c r="I41" s="76">
        <f t="shared" si="6"/>
        <v>0</v>
      </c>
      <c r="K41" s="76"/>
      <c r="L41" s="76"/>
    </row>
    <row r="42" spans="1:12" s="6" customFormat="1" ht="37.5" x14ac:dyDescent="0.3">
      <c r="A42" s="98">
        <v>32</v>
      </c>
      <c r="B42" s="104" t="s">
        <v>138</v>
      </c>
      <c r="C42" s="74" t="s">
        <v>5</v>
      </c>
      <c r="D42" s="74" t="s">
        <v>78</v>
      </c>
      <c r="E42" s="75" t="s">
        <v>606</v>
      </c>
      <c r="F42" s="74" t="s">
        <v>139</v>
      </c>
      <c r="G42" s="76">
        <f>G43</f>
        <v>100000</v>
      </c>
      <c r="H42" s="76">
        <f>H43</f>
        <v>0</v>
      </c>
      <c r="I42" s="76">
        <f>I43</f>
        <v>0</v>
      </c>
      <c r="K42" s="76"/>
      <c r="L42" s="76"/>
    </row>
    <row r="43" spans="1:12" s="6" customFormat="1" ht="37.5" x14ac:dyDescent="0.3">
      <c r="A43" s="98">
        <v>33</v>
      </c>
      <c r="B43" s="104" t="s">
        <v>140</v>
      </c>
      <c r="C43" s="74" t="s">
        <v>5</v>
      </c>
      <c r="D43" s="74" t="s">
        <v>78</v>
      </c>
      <c r="E43" s="75" t="s">
        <v>606</v>
      </c>
      <c r="F43" s="74" t="s">
        <v>605</v>
      </c>
      <c r="G43" s="76">
        <v>100000</v>
      </c>
      <c r="H43" s="76">
        <v>0</v>
      </c>
      <c r="I43" s="76">
        <v>0</v>
      </c>
      <c r="K43" s="76"/>
      <c r="L43" s="76"/>
    </row>
    <row r="44" spans="1:12" s="6" customFormat="1" x14ac:dyDescent="0.3">
      <c r="A44" s="98">
        <v>34</v>
      </c>
      <c r="B44" s="104" t="s">
        <v>79</v>
      </c>
      <c r="C44" s="74" t="s">
        <v>5</v>
      </c>
      <c r="D44" s="74" t="s">
        <v>80</v>
      </c>
      <c r="E44" s="75"/>
      <c r="F44" s="74"/>
      <c r="G44" s="76">
        <f>G45</f>
        <v>10000</v>
      </c>
      <c r="H44" s="76">
        <f t="shared" ref="H44:I48" si="7">H45</f>
        <v>0</v>
      </c>
      <c r="I44" s="76">
        <f t="shared" si="7"/>
        <v>0</v>
      </c>
      <c r="K44" s="76"/>
      <c r="L44" s="76"/>
    </row>
    <row r="45" spans="1:12" s="6" customFormat="1" x14ac:dyDescent="0.3">
      <c r="A45" s="98">
        <v>35</v>
      </c>
      <c r="B45" s="104" t="s">
        <v>121</v>
      </c>
      <c r="C45" s="75" t="s">
        <v>5</v>
      </c>
      <c r="D45" s="75" t="s">
        <v>80</v>
      </c>
      <c r="E45" s="105" t="s">
        <v>618</v>
      </c>
      <c r="F45" s="74"/>
      <c r="G45" s="76">
        <f>G47</f>
        <v>10000</v>
      </c>
      <c r="H45" s="76">
        <f t="shared" ref="G45:I46" si="8">H47</f>
        <v>0</v>
      </c>
      <c r="I45" s="76">
        <f t="shared" si="8"/>
        <v>0</v>
      </c>
      <c r="K45" s="76"/>
      <c r="L45" s="76"/>
    </row>
    <row r="46" spans="1:12" s="6" customFormat="1" x14ac:dyDescent="0.3">
      <c r="A46" s="98">
        <v>36</v>
      </c>
      <c r="B46" s="104" t="s">
        <v>146</v>
      </c>
      <c r="C46" s="75" t="s">
        <v>5</v>
      </c>
      <c r="D46" s="75" t="s">
        <v>80</v>
      </c>
      <c r="E46" s="105" t="s">
        <v>622</v>
      </c>
      <c r="F46" s="74"/>
      <c r="G46" s="76">
        <f t="shared" si="8"/>
        <v>10000</v>
      </c>
      <c r="H46" s="76">
        <f t="shared" si="8"/>
        <v>0</v>
      </c>
      <c r="I46" s="76">
        <f t="shared" si="8"/>
        <v>0</v>
      </c>
      <c r="K46" s="76"/>
      <c r="L46" s="76"/>
    </row>
    <row r="47" spans="1:12" s="6" customFormat="1" ht="37.5" x14ac:dyDescent="0.3">
      <c r="A47" s="98">
        <v>37</v>
      </c>
      <c r="B47" s="104" t="s">
        <v>148</v>
      </c>
      <c r="C47" s="74" t="s">
        <v>5</v>
      </c>
      <c r="D47" s="74" t="s">
        <v>80</v>
      </c>
      <c r="E47" s="75" t="s">
        <v>623</v>
      </c>
      <c r="F47" s="74"/>
      <c r="G47" s="76">
        <f>G48</f>
        <v>10000</v>
      </c>
      <c r="H47" s="76">
        <f t="shared" si="7"/>
        <v>0</v>
      </c>
      <c r="I47" s="76">
        <f t="shared" si="7"/>
        <v>0</v>
      </c>
      <c r="K47" s="76"/>
      <c r="L47" s="76"/>
    </row>
    <row r="48" spans="1:12" s="6" customFormat="1" x14ac:dyDescent="0.3">
      <c r="A48" s="98">
        <v>38</v>
      </c>
      <c r="B48" s="104" t="s">
        <v>142</v>
      </c>
      <c r="C48" s="74" t="s">
        <v>5</v>
      </c>
      <c r="D48" s="74" t="s">
        <v>80</v>
      </c>
      <c r="E48" s="75" t="s">
        <v>623</v>
      </c>
      <c r="F48" s="74" t="s">
        <v>143</v>
      </c>
      <c r="G48" s="76">
        <f>G49</f>
        <v>10000</v>
      </c>
      <c r="H48" s="76">
        <f t="shared" si="7"/>
        <v>0</v>
      </c>
      <c r="I48" s="76">
        <f t="shared" si="7"/>
        <v>0</v>
      </c>
      <c r="K48" s="76"/>
      <c r="L48" s="76"/>
    </row>
    <row r="49" spans="1:12" s="6" customFormat="1" x14ac:dyDescent="0.3">
      <c r="A49" s="98">
        <v>39</v>
      </c>
      <c r="B49" s="104" t="s">
        <v>150</v>
      </c>
      <c r="C49" s="74" t="s">
        <v>5</v>
      </c>
      <c r="D49" s="74" t="s">
        <v>80</v>
      </c>
      <c r="E49" s="75" t="s">
        <v>623</v>
      </c>
      <c r="F49" s="74" t="s">
        <v>151</v>
      </c>
      <c r="G49" s="76">
        <v>10000</v>
      </c>
      <c r="H49" s="158">
        <v>0</v>
      </c>
      <c r="I49" s="158">
        <v>0</v>
      </c>
      <c r="K49" s="76">
        <v>10000</v>
      </c>
      <c r="L49" s="76">
        <f>G49-K49</f>
        <v>0</v>
      </c>
    </row>
    <row r="50" spans="1:12" s="6" customFormat="1" x14ac:dyDescent="0.3">
      <c r="A50" s="98">
        <v>40</v>
      </c>
      <c r="B50" s="104" t="s">
        <v>81</v>
      </c>
      <c r="C50" s="74" t="s">
        <v>5</v>
      </c>
      <c r="D50" s="74" t="s">
        <v>82</v>
      </c>
      <c r="E50" s="75"/>
      <c r="F50" s="74"/>
      <c r="G50" s="76">
        <f>G51</f>
        <v>40300</v>
      </c>
      <c r="H50" s="76">
        <f t="shared" ref="H50:I50" si="9">H51</f>
        <v>12800</v>
      </c>
      <c r="I50" s="76">
        <f t="shared" si="9"/>
        <v>12800</v>
      </c>
      <c r="K50" s="76"/>
      <c r="L50" s="76"/>
    </row>
    <row r="51" spans="1:12" s="6" customFormat="1" x14ac:dyDescent="0.3">
      <c r="A51" s="98">
        <v>41</v>
      </c>
      <c r="B51" s="104" t="s">
        <v>121</v>
      </c>
      <c r="C51" s="75" t="s">
        <v>5</v>
      </c>
      <c r="D51" s="75" t="s">
        <v>82</v>
      </c>
      <c r="E51" s="105" t="s">
        <v>618</v>
      </c>
      <c r="F51" s="74"/>
      <c r="G51" s="76">
        <f>G52</f>
        <v>40300</v>
      </c>
      <c r="H51" s="76">
        <f>H52</f>
        <v>12800</v>
      </c>
      <c r="I51" s="76">
        <f>I52</f>
        <v>12800</v>
      </c>
      <c r="K51" s="76"/>
      <c r="L51" s="76"/>
    </row>
    <row r="52" spans="1:12" s="6" customFormat="1" x14ac:dyDescent="0.3">
      <c r="A52" s="98">
        <v>42</v>
      </c>
      <c r="B52" s="104" t="s">
        <v>152</v>
      </c>
      <c r="C52" s="75" t="s">
        <v>5</v>
      </c>
      <c r="D52" s="75" t="s">
        <v>82</v>
      </c>
      <c r="E52" s="105" t="s">
        <v>624</v>
      </c>
      <c r="F52" s="74"/>
      <c r="G52" s="76">
        <f>G53+G56+G59+G62</f>
        <v>40300</v>
      </c>
      <c r="H52" s="76">
        <f t="shared" ref="H52:I52" si="10">H53+H56+H59+H62</f>
        <v>12800</v>
      </c>
      <c r="I52" s="76">
        <f t="shared" si="10"/>
        <v>12800</v>
      </c>
      <c r="K52" s="76"/>
      <c r="L52" s="76"/>
    </row>
    <row r="53" spans="1:12" s="6" customFormat="1" ht="56.25" x14ac:dyDescent="0.3">
      <c r="A53" s="98">
        <v>43</v>
      </c>
      <c r="B53" s="104" t="s">
        <v>154</v>
      </c>
      <c r="C53" s="74" t="s">
        <v>5</v>
      </c>
      <c r="D53" s="74" t="s">
        <v>82</v>
      </c>
      <c r="E53" s="75" t="s">
        <v>625</v>
      </c>
      <c r="F53" s="74"/>
      <c r="G53" s="76">
        <f t="shared" ref="G53:I57" si="11">G54</f>
        <v>3000</v>
      </c>
      <c r="H53" s="76">
        <f t="shared" si="11"/>
        <v>0</v>
      </c>
      <c r="I53" s="76">
        <f t="shared" si="11"/>
        <v>0</v>
      </c>
      <c r="K53" s="76"/>
      <c r="L53" s="76"/>
    </row>
    <row r="54" spans="1:12" s="6" customFormat="1" x14ac:dyDescent="0.3">
      <c r="A54" s="98">
        <v>44</v>
      </c>
      <c r="B54" s="104" t="s">
        <v>142</v>
      </c>
      <c r="C54" s="74" t="s">
        <v>5</v>
      </c>
      <c r="D54" s="74" t="s">
        <v>82</v>
      </c>
      <c r="E54" s="75" t="s">
        <v>625</v>
      </c>
      <c r="F54" s="74" t="s">
        <v>143</v>
      </c>
      <c r="G54" s="76">
        <f t="shared" si="11"/>
        <v>3000</v>
      </c>
      <c r="H54" s="76">
        <f t="shared" si="11"/>
        <v>0</v>
      </c>
      <c r="I54" s="76">
        <f t="shared" si="11"/>
        <v>0</v>
      </c>
      <c r="K54" s="76"/>
      <c r="L54" s="76"/>
    </row>
    <row r="55" spans="1:12" s="6" customFormat="1" x14ac:dyDescent="0.3">
      <c r="A55" s="98">
        <v>45</v>
      </c>
      <c r="B55" s="104" t="s">
        <v>144</v>
      </c>
      <c r="C55" s="74" t="s">
        <v>5</v>
      </c>
      <c r="D55" s="74" t="s">
        <v>82</v>
      </c>
      <c r="E55" s="75" t="s">
        <v>625</v>
      </c>
      <c r="F55" s="74" t="s">
        <v>145</v>
      </c>
      <c r="G55" s="76">
        <v>3000</v>
      </c>
      <c r="H55" s="158">
        <v>0</v>
      </c>
      <c r="I55" s="158">
        <v>0</v>
      </c>
      <c r="K55" s="76">
        <v>3000</v>
      </c>
      <c r="L55" s="76">
        <f>G55-K55</f>
        <v>0</v>
      </c>
    </row>
    <row r="56" spans="1:12" s="6" customFormat="1" ht="56.25" x14ac:dyDescent="0.3">
      <c r="A56" s="98">
        <v>46</v>
      </c>
      <c r="B56" s="104" t="s">
        <v>464</v>
      </c>
      <c r="C56" s="74" t="s">
        <v>5</v>
      </c>
      <c r="D56" s="74" t="s">
        <v>82</v>
      </c>
      <c r="E56" s="75" t="s">
        <v>626</v>
      </c>
      <c r="F56" s="74"/>
      <c r="G56" s="76">
        <f t="shared" si="11"/>
        <v>22500</v>
      </c>
      <c r="H56" s="76">
        <f t="shared" si="11"/>
        <v>0</v>
      </c>
      <c r="I56" s="76">
        <f t="shared" si="11"/>
        <v>0</v>
      </c>
      <c r="K56" s="76"/>
      <c r="L56" s="76"/>
    </row>
    <row r="57" spans="1:12" s="6" customFormat="1" ht="37.5" x14ac:dyDescent="0.3">
      <c r="A57" s="98">
        <v>47</v>
      </c>
      <c r="B57" s="104" t="s">
        <v>138</v>
      </c>
      <c r="C57" s="74" t="s">
        <v>5</v>
      </c>
      <c r="D57" s="74" t="s">
        <v>82</v>
      </c>
      <c r="E57" s="75" t="s">
        <v>626</v>
      </c>
      <c r="F57" s="74" t="s">
        <v>139</v>
      </c>
      <c r="G57" s="76">
        <f t="shared" si="11"/>
        <v>22500</v>
      </c>
      <c r="H57" s="76">
        <f t="shared" si="11"/>
        <v>0</v>
      </c>
      <c r="I57" s="76">
        <f t="shared" si="11"/>
        <v>0</v>
      </c>
      <c r="K57" s="76"/>
      <c r="L57" s="76"/>
    </row>
    <row r="58" spans="1:12" s="6" customFormat="1" ht="37.5" x14ac:dyDescent="0.3">
      <c r="A58" s="98">
        <v>48</v>
      </c>
      <c r="B58" s="104" t="s">
        <v>140</v>
      </c>
      <c r="C58" s="74" t="s">
        <v>5</v>
      </c>
      <c r="D58" s="74" t="s">
        <v>82</v>
      </c>
      <c r="E58" s="75" t="s">
        <v>626</v>
      </c>
      <c r="F58" s="74" t="s">
        <v>141</v>
      </c>
      <c r="G58" s="76">
        <f>10000+7500+5000</f>
        <v>22500</v>
      </c>
      <c r="H58" s="158">
        <v>0</v>
      </c>
      <c r="I58" s="158">
        <v>0</v>
      </c>
      <c r="K58" s="76">
        <v>10000</v>
      </c>
      <c r="L58" s="76">
        <f>G58-K58</f>
        <v>12500</v>
      </c>
    </row>
    <row r="59" spans="1:12" s="6" customFormat="1" ht="56.25" x14ac:dyDescent="0.3">
      <c r="A59" s="98">
        <v>49</v>
      </c>
      <c r="B59" s="104" t="s">
        <v>156</v>
      </c>
      <c r="C59" s="75" t="s">
        <v>5</v>
      </c>
      <c r="D59" s="75" t="s">
        <v>82</v>
      </c>
      <c r="E59" s="105" t="s">
        <v>627</v>
      </c>
      <c r="F59" s="74"/>
      <c r="G59" s="76">
        <f t="shared" ref="G59:I60" si="12">G60</f>
        <v>2000</v>
      </c>
      <c r="H59" s="76">
        <f t="shared" si="12"/>
        <v>0</v>
      </c>
      <c r="I59" s="76">
        <f t="shared" si="12"/>
        <v>0</v>
      </c>
      <c r="K59" s="76"/>
      <c r="L59" s="76"/>
    </row>
    <row r="60" spans="1:12" s="6" customFormat="1" ht="37.5" x14ac:dyDescent="0.3">
      <c r="A60" s="98">
        <v>50</v>
      </c>
      <c r="B60" s="104" t="s">
        <v>138</v>
      </c>
      <c r="C60" s="74" t="s">
        <v>5</v>
      </c>
      <c r="D60" s="74" t="s">
        <v>82</v>
      </c>
      <c r="E60" s="75" t="s">
        <v>627</v>
      </c>
      <c r="F60" s="74" t="s">
        <v>139</v>
      </c>
      <c r="G60" s="76">
        <f t="shared" si="12"/>
        <v>2000</v>
      </c>
      <c r="H60" s="76">
        <f t="shared" si="12"/>
        <v>0</v>
      </c>
      <c r="I60" s="76">
        <f t="shared" si="12"/>
        <v>0</v>
      </c>
      <c r="K60" s="76"/>
      <c r="L60" s="76"/>
    </row>
    <row r="61" spans="1:12" s="6" customFormat="1" ht="37.5" x14ac:dyDescent="0.3">
      <c r="A61" s="98">
        <v>51</v>
      </c>
      <c r="B61" s="104" t="s">
        <v>140</v>
      </c>
      <c r="C61" s="74" t="s">
        <v>5</v>
      </c>
      <c r="D61" s="74" t="s">
        <v>82</v>
      </c>
      <c r="E61" s="75" t="s">
        <v>627</v>
      </c>
      <c r="F61" s="74" t="s">
        <v>141</v>
      </c>
      <c r="G61" s="76">
        <v>2000</v>
      </c>
      <c r="H61" s="158">
        <v>0</v>
      </c>
      <c r="I61" s="158">
        <v>0</v>
      </c>
      <c r="K61" s="76">
        <f>1000+1000</f>
        <v>2000</v>
      </c>
      <c r="L61" s="76">
        <f>G61-K61</f>
        <v>0</v>
      </c>
    </row>
    <row r="62" spans="1:12" s="6" customFormat="1" ht="56.25" x14ac:dyDescent="0.3">
      <c r="A62" s="98">
        <v>52</v>
      </c>
      <c r="B62" s="21" t="s">
        <v>157</v>
      </c>
      <c r="C62" s="74" t="s">
        <v>5</v>
      </c>
      <c r="D62" s="74" t="s">
        <v>82</v>
      </c>
      <c r="E62" s="75" t="s">
        <v>628</v>
      </c>
      <c r="F62" s="74"/>
      <c r="G62" s="76">
        <f>G65+G63</f>
        <v>12800</v>
      </c>
      <c r="H62" s="76">
        <f>H65+H63</f>
        <v>12800</v>
      </c>
      <c r="I62" s="76">
        <f>I65+I63</f>
        <v>12800</v>
      </c>
      <c r="K62" s="76"/>
      <c r="L62" s="76"/>
    </row>
    <row r="63" spans="1:12" s="6" customFormat="1" ht="75" x14ac:dyDescent="0.3">
      <c r="A63" s="98">
        <v>53</v>
      </c>
      <c r="B63" s="21" t="s">
        <v>127</v>
      </c>
      <c r="C63" s="74" t="s">
        <v>5</v>
      </c>
      <c r="D63" s="74" t="s">
        <v>82</v>
      </c>
      <c r="E63" s="75" t="s">
        <v>628</v>
      </c>
      <c r="F63" s="74" t="s">
        <v>128</v>
      </c>
      <c r="G63" s="76">
        <f>G64</f>
        <v>9600</v>
      </c>
      <c r="H63" s="76">
        <f t="shared" ref="G63:I65" si="13">H64</f>
        <v>9600</v>
      </c>
      <c r="I63" s="76">
        <f t="shared" si="13"/>
        <v>9600</v>
      </c>
      <c r="K63" s="76"/>
      <c r="L63" s="76"/>
    </row>
    <row r="64" spans="1:12" s="6" customFormat="1" ht="37.5" x14ac:dyDescent="0.3">
      <c r="A64" s="98">
        <v>54</v>
      </c>
      <c r="B64" s="104" t="s">
        <v>129</v>
      </c>
      <c r="C64" s="74" t="s">
        <v>5</v>
      </c>
      <c r="D64" s="74" t="s">
        <v>82</v>
      </c>
      <c r="E64" s="75" t="s">
        <v>628</v>
      </c>
      <c r="F64" s="74" t="s">
        <v>130</v>
      </c>
      <c r="G64" s="76">
        <v>9600</v>
      </c>
      <c r="H64" s="158">
        <f>G64</f>
        <v>9600</v>
      </c>
      <c r="I64" s="158">
        <f>H64</f>
        <v>9600</v>
      </c>
      <c r="K64" s="76">
        <f>7373+2227</f>
        <v>9600</v>
      </c>
      <c r="L64" s="76">
        <f>G64-K64</f>
        <v>0</v>
      </c>
    </row>
    <row r="65" spans="1:12" s="6" customFormat="1" ht="37.5" x14ac:dyDescent="0.3">
      <c r="A65" s="98">
        <v>55</v>
      </c>
      <c r="B65" s="104" t="s">
        <v>138</v>
      </c>
      <c r="C65" s="74" t="s">
        <v>5</v>
      </c>
      <c r="D65" s="74" t="s">
        <v>82</v>
      </c>
      <c r="E65" s="75" t="s">
        <v>628</v>
      </c>
      <c r="F65" s="74" t="s">
        <v>139</v>
      </c>
      <c r="G65" s="76">
        <f t="shared" si="13"/>
        <v>3200</v>
      </c>
      <c r="H65" s="76">
        <f t="shared" si="13"/>
        <v>3200</v>
      </c>
      <c r="I65" s="76">
        <f t="shared" si="13"/>
        <v>3200</v>
      </c>
      <c r="K65" s="76"/>
      <c r="L65" s="76"/>
    </row>
    <row r="66" spans="1:12" s="6" customFormat="1" ht="37.5" x14ac:dyDescent="0.3">
      <c r="A66" s="98">
        <v>56</v>
      </c>
      <c r="B66" s="104" t="s">
        <v>140</v>
      </c>
      <c r="C66" s="74" t="s">
        <v>5</v>
      </c>
      <c r="D66" s="74" t="s">
        <v>82</v>
      </c>
      <c r="E66" s="75" t="s">
        <v>628</v>
      </c>
      <c r="F66" s="74" t="s">
        <v>141</v>
      </c>
      <c r="G66" s="76">
        <v>3200</v>
      </c>
      <c r="H66" s="158">
        <f>G66</f>
        <v>3200</v>
      </c>
      <c r="I66" s="158">
        <f>H66</f>
        <v>3200</v>
      </c>
      <c r="K66" s="76">
        <v>3200</v>
      </c>
      <c r="L66" s="76">
        <f>G66-K66</f>
        <v>0</v>
      </c>
    </row>
    <row r="67" spans="1:12" s="73" customFormat="1" x14ac:dyDescent="0.3">
      <c r="A67" s="98">
        <v>57</v>
      </c>
      <c r="B67" s="107" t="s">
        <v>159</v>
      </c>
      <c r="C67" s="70" t="s">
        <v>5</v>
      </c>
      <c r="D67" s="70" t="s">
        <v>84</v>
      </c>
      <c r="E67" s="71"/>
      <c r="F67" s="70"/>
      <c r="G67" s="72">
        <f t="shared" ref="G67:I68" si="14">G68</f>
        <v>409265</v>
      </c>
      <c r="H67" s="72">
        <f t="shared" si="14"/>
        <v>424831</v>
      </c>
      <c r="I67" s="72">
        <f t="shared" si="14"/>
        <v>441674</v>
      </c>
      <c r="K67" s="72"/>
      <c r="L67" s="72"/>
    </row>
    <row r="68" spans="1:12" s="6" customFormat="1" x14ac:dyDescent="0.3">
      <c r="A68" s="98">
        <v>58</v>
      </c>
      <c r="B68" s="104" t="s">
        <v>85</v>
      </c>
      <c r="C68" s="74" t="s">
        <v>5</v>
      </c>
      <c r="D68" s="74" t="s">
        <v>86</v>
      </c>
      <c r="E68" s="75"/>
      <c r="F68" s="74"/>
      <c r="G68" s="76">
        <f t="shared" si="14"/>
        <v>409265</v>
      </c>
      <c r="H68" s="76">
        <f t="shared" si="14"/>
        <v>424831</v>
      </c>
      <c r="I68" s="76">
        <f>I69</f>
        <v>441674</v>
      </c>
      <c r="K68" s="76"/>
      <c r="L68" s="76"/>
    </row>
    <row r="69" spans="1:12" s="6" customFormat="1" x14ac:dyDescent="0.3">
      <c r="A69" s="98">
        <v>59</v>
      </c>
      <c r="B69" s="104" t="s">
        <v>121</v>
      </c>
      <c r="C69" s="75" t="s">
        <v>5</v>
      </c>
      <c r="D69" s="75" t="s">
        <v>86</v>
      </c>
      <c r="E69" s="105" t="s">
        <v>122</v>
      </c>
      <c r="F69" s="74"/>
      <c r="G69" s="76">
        <f>G71</f>
        <v>409265</v>
      </c>
      <c r="H69" s="76">
        <f>H71</f>
        <v>424831</v>
      </c>
      <c r="I69" s="76">
        <f>I71</f>
        <v>441674</v>
      </c>
      <c r="K69" s="76"/>
      <c r="L69" s="76"/>
    </row>
    <row r="70" spans="1:12" s="109" customFormat="1" ht="25.5" customHeight="1" x14ac:dyDescent="0.3">
      <c r="A70" s="98">
        <v>60</v>
      </c>
      <c r="B70" s="108" t="s">
        <v>152</v>
      </c>
      <c r="C70" s="75" t="s">
        <v>5</v>
      </c>
      <c r="D70" s="75" t="s">
        <v>86</v>
      </c>
      <c r="E70" s="105" t="s">
        <v>153</v>
      </c>
      <c r="F70" s="74"/>
      <c r="G70" s="76">
        <f>G71</f>
        <v>409265</v>
      </c>
      <c r="H70" s="76">
        <f t="shared" ref="H70:I70" si="15">H71</f>
        <v>424831</v>
      </c>
      <c r="I70" s="76">
        <f t="shared" si="15"/>
        <v>441674</v>
      </c>
      <c r="K70" s="76"/>
      <c r="L70" s="76"/>
    </row>
    <row r="71" spans="1:12" s="109" customFormat="1" ht="56.25" x14ac:dyDescent="0.3">
      <c r="A71" s="98">
        <v>61</v>
      </c>
      <c r="B71" s="110" t="s">
        <v>160</v>
      </c>
      <c r="C71" s="74" t="s">
        <v>5</v>
      </c>
      <c r="D71" s="74" t="s">
        <v>86</v>
      </c>
      <c r="E71" s="75" t="s">
        <v>161</v>
      </c>
      <c r="F71" s="74"/>
      <c r="G71" s="76">
        <f>G72+G74</f>
        <v>409265</v>
      </c>
      <c r="H71" s="76">
        <f t="shared" ref="H71:I71" si="16">H72+H74</f>
        <v>424831</v>
      </c>
      <c r="I71" s="76">
        <f t="shared" si="16"/>
        <v>441674</v>
      </c>
      <c r="K71" s="76"/>
      <c r="L71" s="76"/>
    </row>
    <row r="72" spans="1:12" s="109" customFormat="1" ht="75" x14ac:dyDescent="0.3">
      <c r="A72" s="98">
        <v>62</v>
      </c>
      <c r="B72" s="110" t="s">
        <v>127</v>
      </c>
      <c r="C72" s="74" t="s">
        <v>5</v>
      </c>
      <c r="D72" s="74" t="s">
        <v>86</v>
      </c>
      <c r="E72" s="75" t="s">
        <v>161</v>
      </c>
      <c r="F72" s="74" t="s">
        <v>128</v>
      </c>
      <c r="G72" s="76">
        <f>G73</f>
        <v>359800</v>
      </c>
      <c r="H72" s="76">
        <f>H73</f>
        <v>359800</v>
      </c>
      <c r="I72" s="76">
        <f>I73</f>
        <v>359800</v>
      </c>
      <c r="K72" s="76"/>
      <c r="L72" s="76"/>
    </row>
    <row r="73" spans="1:12" s="109" customFormat="1" ht="37.5" x14ac:dyDescent="0.3">
      <c r="A73" s="98">
        <v>63</v>
      </c>
      <c r="B73" s="108" t="s">
        <v>129</v>
      </c>
      <c r="C73" s="74" t="s">
        <v>5</v>
      </c>
      <c r="D73" s="74" t="s">
        <v>86</v>
      </c>
      <c r="E73" s="75" t="s">
        <v>161</v>
      </c>
      <c r="F73" s="74" t="s">
        <v>130</v>
      </c>
      <c r="G73" s="76">
        <v>359800</v>
      </c>
      <c r="H73" s="158">
        <f>G73</f>
        <v>359800</v>
      </c>
      <c r="I73" s="158">
        <v>359800</v>
      </c>
      <c r="K73" s="76">
        <f>271721+4100+83979</f>
        <v>359800</v>
      </c>
      <c r="L73" s="76">
        <f>G73-K73</f>
        <v>0</v>
      </c>
    </row>
    <row r="74" spans="1:12" s="109" customFormat="1" ht="37.5" x14ac:dyDescent="0.3">
      <c r="A74" s="98">
        <v>64</v>
      </c>
      <c r="B74" s="108" t="s">
        <v>138</v>
      </c>
      <c r="C74" s="74" t="s">
        <v>5</v>
      </c>
      <c r="D74" s="74" t="s">
        <v>86</v>
      </c>
      <c r="E74" s="75" t="s">
        <v>161</v>
      </c>
      <c r="F74" s="74" t="s">
        <v>139</v>
      </c>
      <c r="G74" s="76">
        <f>G75</f>
        <v>49465</v>
      </c>
      <c r="H74" s="76">
        <f>H75</f>
        <v>65031</v>
      </c>
      <c r="I74" s="76">
        <f>I75</f>
        <v>81874</v>
      </c>
      <c r="K74" s="76"/>
      <c r="L74" s="76"/>
    </row>
    <row r="75" spans="1:12" s="6" customFormat="1" ht="37.5" x14ac:dyDescent="0.3">
      <c r="A75" s="98">
        <v>65</v>
      </c>
      <c r="B75" s="104" t="s">
        <v>140</v>
      </c>
      <c r="C75" s="74" t="s">
        <v>5</v>
      </c>
      <c r="D75" s="74" t="s">
        <v>86</v>
      </c>
      <c r="E75" s="75" t="s">
        <v>161</v>
      </c>
      <c r="F75" s="74" t="s">
        <v>141</v>
      </c>
      <c r="G75" s="76">
        <f>57381-7916</f>
        <v>49465</v>
      </c>
      <c r="H75" s="158">
        <f>75983-10952</f>
        <v>65031</v>
      </c>
      <c r="I75" s="158">
        <v>81874</v>
      </c>
      <c r="K75" s="76">
        <f>5000+9120+16000+19345</f>
        <v>49465</v>
      </c>
      <c r="L75" s="76">
        <f>G75-K75</f>
        <v>0</v>
      </c>
    </row>
    <row r="76" spans="1:12" s="73" customFormat="1" ht="37.5" x14ac:dyDescent="0.3">
      <c r="A76" s="98">
        <v>66</v>
      </c>
      <c r="B76" s="107" t="s">
        <v>162</v>
      </c>
      <c r="C76" s="70" t="s">
        <v>5</v>
      </c>
      <c r="D76" s="70" t="s">
        <v>88</v>
      </c>
      <c r="E76" s="71"/>
      <c r="F76" s="70"/>
      <c r="G76" s="72">
        <f>G77</f>
        <v>209263</v>
      </c>
      <c r="H76" s="72">
        <f t="shared" ref="H76:I76" si="17">H77</f>
        <v>209263</v>
      </c>
      <c r="I76" s="72">
        <f t="shared" si="17"/>
        <v>209263</v>
      </c>
      <c r="K76" s="72"/>
      <c r="L76" s="72"/>
    </row>
    <row r="77" spans="1:12" s="73" customFormat="1" ht="37.5" customHeight="1" x14ac:dyDescent="0.3">
      <c r="A77" s="98">
        <v>67</v>
      </c>
      <c r="B77" s="69" t="s">
        <v>484</v>
      </c>
      <c r="C77" s="70" t="s">
        <v>5</v>
      </c>
      <c r="D77" s="70" t="s">
        <v>89</v>
      </c>
      <c r="E77" s="71"/>
      <c r="F77" s="70"/>
      <c r="G77" s="72">
        <f t="shared" ref="G77:I79" si="18">G78</f>
        <v>209263</v>
      </c>
      <c r="H77" s="72">
        <f t="shared" si="18"/>
        <v>209263</v>
      </c>
      <c r="I77" s="72">
        <f t="shared" si="18"/>
        <v>209263</v>
      </c>
      <c r="K77" s="72"/>
      <c r="L77" s="72"/>
    </row>
    <row r="78" spans="1:12" s="6" customFormat="1" ht="37.5" customHeight="1" x14ac:dyDescent="0.3">
      <c r="A78" s="98">
        <v>68</v>
      </c>
      <c r="B78" s="21" t="s">
        <v>163</v>
      </c>
      <c r="C78" s="74" t="s">
        <v>5</v>
      </c>
      <c r="D78" s="74" t="s">
        <v>89</v>
      </c>
      <c r="E78" s="75" t="s">
        <v>164</v>
      </c>
      <c r="F78" s="74"/>
      <c r="G78" s="76">
        <f t="shared" si="18"/>
        <v>209263</v>
      </c>
      <c r="H78" s="76">
        <f t="shared" si="18"/>
        <v>209263</v>
      </c>
      <c r="I78" s="76">
        <f t="shared" si="18"/>
        <v>209263</v>
      </c>
      <c r="K78" s="76"/>
      <c r="L78" s="76"/>
    </row>
    <row r="79" spans="1:12" s="6" customFormat="1" ht="37.5" customHeight="1" x14ac:dyDescent="0.3">
      <c r="A79" s="98">
        <v>69</v>
      </c>
      <c r="B79" s="21" t="s">
        <v>165</v>
      </c>
      <c r="C79" s="74" t="s">
        <v>5</v>
      </c>
      <c r="D79" s="74" t="s">
        <v>89</v>
      </c>
      <c r="E79" s="75" t="s">
        <v>166</v>
      </c>
      <c r="F79" s="74"/>
      <c r="G79" s="76">
        <f>G80</f>
        <v>209263</v>
      </c>
      <c r="H79" s="76">
        <f t="shared" si="18"/>
        <v>209263</v>
      </c>
      <c r="I79" s="76">
        <f t="shared" si="18"/>
        <v>209263</v>
      </c>
      <c r="K79" s="76"/>
      <c r="L79" s="76"/>
    </row>
    <row r="80" spans="1:12" s="6" customFormat="1" ht="75" x14ac:dyDescent="0.3">
      <c r="A80" s="98">
        <v>70</v>
      </c>
      <c r="B80" s="21" t="s">
        <v>167</v>
      </c>
      <c r="C80" s="74" t="s">
        <v>5</v>
      </c>
      <c r="D80" s="74" t="s">
        <v>89</v>
      </c>
      <c r="E80" s="75" t="s">
        <v>168</v>
      </c>
      <c r="F80" s="74"/>
      <c r="G80" s="76">
        <f>G81+G83</f>
        <v>209263</v>
      </c>
      <c r="H80" s="76">
        <f t="shared" ref="H80:I80" si="19">H81+H83</f>
        <v>209263</v>
      </c>
      <c r="I80" s="76">
        <f t="shared" si="19"/>
        <v>209263</v>
      </c>
      <c r="K80" s="76"/>
      <c r="L80" s="76"/>
    </row>
    <row r="81" spans="1:12" s="6" customFormat="1" ht="37.5" x14ac:dyDescent="0.3">
      <c r="A81" s="98">
        <v>71</v>
      </c>
      <c r="B81" s="21" t="s">
        <v>138</v>
      </c>
      <c r="C81" s="74" t="s">
        <v>5</v>
      </c>
      <c r="D81" s="74" t="s">
        <v>89</v>
      </c>
      <c r="E81" s="75" t="s">
        <v>168</v>
      </c>
      <c r="F81" s="74" t="s">
        <v>139</v>
      </c>
      <c r="G81" s="76">
        <f>G82</f>
        <v>149263</v>
      </c>
      <c r="H81" s="76">
        <f>H82</f>
        <v>149263</v>
      </c>
      <c r="I81" s="76">
        <f>I82</f>
        <v>149263</v>
      </c>
      <c r="K81" s="76"/>
      <c r="L81" s="76"/>
    </row>
    <row r="82" spans="1:12" s="6" customFormat="1" ht="37.5" x14ac:dyDescent="0.3">
      <c r="A82" s="98">
        <v>72</v>
      </c>
      <c r="B82" s="21" t="s">
        <v>140</v>
      </c>
      <c r="C82" s="74" t="s">
        <v>5</v>
      </c>
      <c r="D82" s="74" t="s">
        <v>89</v>
      </c>
      <c r="E82" s="75" t="s">
        <v>168</v>
      </c>
      <c r="F82" s="74" t="s">
        <v>141</v>
      </c>
      <c r="G82" s="76">
        <f>10463+9800+20000+109000</f>
        <v>149263</v>
      </c>
      <c r="H82" s="76">
        <f>10463+9800+20000+109000</f>
        <v>149263</v>
      </c>
      <c r="I82" s="76">
        <f>10463+9800+20000+109000</f>
        <v>149263</v>
      </c>
      <c r="K82" s="76">
        <f>9800+20000+109000+10463</f>
        <v>149263</v>
      </c>
      <c r="L82" s="76">
        <f>G82-K82</f>
        <v>0</v>
      </c>
    </row>
    <row r="83" spans="1:12" s="6" customFormat="1" x14ac:dyDescent="0.3">
      <c r="A83" s="98">
        <v>73</v>
      </c>
      <c r="B83" s="21" t="s">
        <v>568</v>
      </c>
      <c r="C83" s="74" t="s">
        <v>5</v>
      </c>
      <c r="D83" s="74" t="s">
        <v>89</v>
      </c>
      <c r="E83" s="75" t="s">
        <v>168</v>
      </c>
      <c r="F83" s="74" t="s">
        <v>566</v>
      </c>
      <c r="G83" s="76">
        <f>G84</f>
        <v>60000</v>
      </c>
      <c r="H83" s="76">
        <f>H84</f>
        <v>60000</v>
      </c>
      <c r="I83" s="76">
        <f>I84</f>
        <v>60000</v>
      </c>
      <c r="K83" s="76"/>
      <c r="L83" s="76"/>
    </row>
    <row r="84" spans="1:12" s="6" customFormat="1" x14ac:dyDescent="0.3">
      <c r="A84" s="98">
        <v>74</v>
      </c>
      <c r="B84" s="21" t="s">
        <v>569</v>
      </c>
      <c r="C84" s="74" t="s">
        <v>5</v>
      </c>
      <c r="D84" s="74" t="s">
        <v>89</v>
      </c>
      <c r="E84" s="75" t="s">
        <v>168</v>
      </c>
      <c r="F84" s="74" t="s">
        <v>567</v>
      </c>
      <c r="G84" s="76">
        <v>60000</v>
      </c>
      <c r="H84" s="76">
        <v>60000</v>
      </c>
      <c r="I84" s="76">
        <v>60000</v>
      </c>
      <c r="K84" s="76">
        <v>60000</v>
      </c>
      <c r="L84" s="76">
        <f>G84-K84</f>
        <v>0</v>
      </c>
    </row>
    <row r="85" spans="1:12" s="73" customFormat="1" x14ac:dyDescent="0.3">
      <c r="A85" s="98">
        <v>75</v>
      </c>
      <c r="B85" s="69" t="s">
        <v>169</v>
      </c>
      <c r="C85" s="70" t="s">
        <v>5</v>
      </c>
      <c r="D85" s="70" t="s">
        <v>91</v>
      </c>
      <c r="E85" s="71"/>
      <c r="F85" s="70"/>
      <c r="G85" s="72">
        <f>G86+G101</f>
        <v>3216158.93</v>
      </c>
      <c r="H85" s="72">
        <f>H86+H101</f>
        <v>52336900</v>
      </c>
      <c r="I85" s="72">
        <f>I86+I101</f>
        <v>581600</v>
      </c>
      <c r="K85" s="72"/>
      <c r="L85" s="72"/>
    </row>
    <row r="86" spans="1:12" s="6" customFormat="1" x14ac:dyDescent="0.3">
      <c r="A86" s="98">
        <v>76</v>
      </c>
      <c r="B86" s="21" t="s">
        <v>92</v>
      </c>
      <c r="C86" s="74" t="s">
        <v>5</v>
      </c>
      <c r="D86" s="74" t="s">
        <v>93</v>
      </c>
      <c r="E86" s="75"/>
      <c r="F86" s="74"/>
      <c r="G86" s="76">
        <f>G87</f>
        <v>3176158.93</v>
      </c>
      <c r="H86" s="76">
        <f t="shared" ref="H86:I86" si="20">H87</f>
        <v>52336900</v>
      </c>
      <c r="I86" s="76">
        <f t="shared" si="20"/>
        <v>581600</v>
      </c>
      <c r="K86" s="76"/>
      <c r="L86" s="76"/>
    </row>
    <row r="87" spans="1:12" s="6" customFormat="1" ht="37.5" x14ac:dyDescent="0.3">
      <c r="A87" s="98">
        <v>77</v>
      </c>
      <c r="B87" s="21" t="s">
        <v>163</v>
      </c>
      <c r="C87" s="74" t="s">
        <v>5</v>
      </c>
      <c r="D87" s="74" t="s">
        <v>93</v>
      </c>
      <c r="E87" s="75" t="s">
        <v>164</v>
      </c>
      <c r="F87" s="74"/>
      <c r="G87" s="76">
        <f>G88</f>
        <v>3176158.93</v>
      </c>
      <c r="H87" s="76">
        <f>H88</f>
        <v>52336900</v>
      </c>
      <c r="I87" s="76">
        <f>I88</f>
        <v>581600</v>
      </c>
      <c r="K87" s="76"/>
      <c r="L87" s="76"/>
    </row>
    <row r="88" spans="1:12" s="6" customFormat="1" ht="37.5" x14ac:dyDescent="0.3">
      <c r="A88" s="98">
        <v>78</v>
      </c>
      <c r="B88" s="21" t="s">
        <v>170</v>
      </c>
      <c r="C88" s="74" t="s">
        <v>5</v>
      </c>
      <c r="D88" s="74" t="s">
        <v>93</v>
      </c>
      <c r="E88" s="75" t="s">
        <v>171</v>
      </c>
      <c r="F88" s="74"/>
      <c r="G88" s="76">
        <f>G89+G98+G92+G95</f>
        <v>3176158.93</v>
      </c>
      <c r="H88" s="76">
        <f t="shared" ref="H88:I88" si="21">H89+H98+H92+H95</f>
        <v>52336900</v>
      </c>
      <c r="I88" s="76">
        <f t="shared" si="21"/>
        <v>581600</v>
      </c>
      <c r="K88" s="76"/>
      <c r="L88" s="76"/>
    </row>
    <row r="89" spans="1:12" s="6" customFormat="1" ht="75" x14ac:dyDescent="0.3">
      <c r="A89" s="98">
        <v>79</v>
      </c>
      <c r="B89" s="21" t="s">
        <v>172</v>
      </c>
      <c r="C89" s="74" t="s">
        <v>5</v>
      </c>
      <c r="D89" s="74" t="s">
        <v>93</v>
      </c>
      <c r="E89" s="75" t="s">
        <v>173</v>
      </c>
      <c r="F89" s="74"/>
      <c r="G89" s="76">
        <f t="shared" ref="G89:I90" si="22">G90</f>
        <v>602200.93000000005</v>
      </c>
      <c r="H89" s="76">
        <f t="shared" si="22"/>
        <v>306000</v>
      </c>
      <c r="I89" s="76">
        <f t="shared" si="22"/>
        <v>581600</v>
      </c>
      <c r="K89" s="76"/>
      <c r="L89" s="76"/>
    </row>
    <row r="90" spans="1:12" s="6" customFormat="1" ht="37.5" x14ac:dyDescent="0.3">
      <c r="A90" s="98">
        <v>80</v>
      </c>
      <c r="B90" s="21" t="s">
        <v>138</v>
      </c>
      <c r="C90" s="74" t="s">
        <v>5</v>
      </c>
      <c r="D90" s="74" t="s">
        <v>93</v>
      </c>
      <c r="E90" s="75" t="s">
        <v>173</v>
      </c>
      <c r="F90" s="74" t="s">
        <v>139</v>
      </c>
      <c r="G90" s="76">
        <f t="shared" si="22"/>
        <v>602200.93000000005</v>
      </c>
      <c r="H90" s="76">
        <f t="shared" si="22"/>
        <v>306000</v>
      </c>
      <c r="I90" s="76">
        <f t="shared" si="22"/>
        <v>581600</v>
      </c>
      <c r="K90" s="76"/>
      <c r="L90" s="76"/>
    </row>
    <row r="91" spans="1:12" s="6" customFormat="1" ht="37.5" x14ac:dyDescent="0.3">
      <c r="A91" s="98">
        <v>81</v>
      </c>
      <c r="B91" s="21" t="s">
        <v>140</v>
      </c>
      <c r="C91" s="74" t="s">
        <v>5</v>
      </c>
      <c r="D91" s="74" t="s">
        <v>93</v>
      </c>
      <c r="E91" s="75" t="s">
        <v>173</v>
      </c>
      <c r="F91" s="74" t="s">
        <v>141</v>
      </c>
      <c r="G91" s="76">
        <f>553100-15000+45300+7442+11358.93</f>
        <v>602200.93000000005</v>
      </c>
      <c r="H91" s="158">
        <f>566200-260200</f>
        <v>306000</v>
      </c>
      <c r="I91" s="158">
        <v>581600</v>
      </c>
      <c r="K91" s="76">
        <f>307442+40000+40000+203400</f>
        <v>590842</v>
      </c>
      <c r="L91" s="76">
        <f>G91-K91</f>
        <v>11358.93</v>
      </c>
    </row>
    <row r="92" spans="1:12" s="6" customFormat="1" ht="112.5" x14ac:dyDescent="0.3">
      <c r="A92" s="98">
        <v>82</v>
      </c>
      <c r="B92" s="21" t="s">
        <v>633</v>
      </c>
      <c r="C92" s="74" t="s">
        <v>5</v>
      </c>
      <c r="D92" s="74" t="s">
        <v>93</v>
      </c>
      <c r="E92" s="75" t="s">
        <v>607</v>
      </c>
      <c r="F92" s="74"/>
      <c r="G92" s="76">
        <f t="shared" ref="G92:I93" si="23">G93</f>
        <v>421400</v>
      </c>
      <c r="H92" s="76">
        <f t="shared" si="23"/>
        <v>0</v>
      </c>
      <c r="I92" s="76">
        <f t="shared" si="23"/>
        <v>0</v>
      </c>
      <c r="K92" s="76"/>
      <c r="L92" s="76"/>
    </row>
    <row r="93" spans="1:12" s="6" customFormat="1" ht="37.5" x14ac:dyDescent="0.3">
      <c r="A93" s="98">
        <v>83</v>
      </c>
      <c r="B93" s="21" t="s">
        <v>138</v>
      </c>
      <c r="C93" s="74" t="s">
        <v>5</v>
      </c>
      <c r="D93" s="74" t="s">
        <v>93</v>
      </c>
      <c r="E93" s="75" t="s">
        <v>607</v>
      </c>
      <c r="F93" s="74" t="s">
        <v>139</v>
      </c>
      <c r="G93" s="76">
        <f t="shared" si="23"/>
        <v>421400</v>
      </c>
      <c r="H93" s="76">
        <f t="shared" si="23"/>
        <v>0</v>
      </c>
      <c r="I93" s="76">
        <f t="shared" si="23"/>
        <v>0</v>
      </c>
      <c r="K93" s="76"/>
      <c r="L93" s="76"/>
    </row>
    <row r="94" spans="1:12" s="6" customFormat="1" ht="37.5" x14ac:dyDescent="0.3">
      <c r="A94" s="98">
        <v>84</v>
      </c>
      <c r="B94" s="21" t="s">
        <v>140</v>
      </c>
      <c r="C94" s="74" t="s">
        <v>5</v>
      </c>
      <c r="D94" s="74" t="s">
        <v>93</v>
      </c>
      <c r="E94" s="75" t="s">
        <v>607</v>
      </c>
      <c r="F94" s="74" t="s">
        <v>141</v>
      </c>
      <c r="G94" s="76">
        <v>421400</v>
      </c>
      <c r="H94" s="76">
        <v>0</v>
      </c>
      <c r="I94" s="76">
        <v>0</v>
      </c>
      <c r="K94" s="76">
        <f>1427200+7558</f>
        <v>1434758</v>
      </c>
      <c r="L94" s="76">
        <f>G94-K94</f>
        <v>-1013358</v>
      </c>
    </row>
    <row r="95" spans="1:12" s="6" customFormat="1" ht="93.75" x14ac:dyDescent="0.3">
      <c r="A95" s="98">
        <v>85</v>
      </c>
      <c r="B95" s="21" t="s">
        <v>174</v>
      </c>
      <c r="C95" s="74" t="s">
        <v>5</v>
      </c>
      <c r="D95" s="74" t="s">
        <v>93</v>
      </c>
      <c r="E95" s="75" t="s">
        <v>175</v>
      </c>
      <c r="F95" s="74"/>
      <c r="G95" s="76">
        <f t="shared" ref="G95:I96" si="24">G96</f>
        <v>2152558</v>
      </c>
      <c r="H95" s="76">
        <f t="shared" si="24"/>
        <v>0</v>
      </c>
      <c r="I95" s="76">
        <f t="shared" si="24"/>
        <v>0</v>
      </c>
      <c r="K95" s="76"/>
      <c r="L95" s="76"/>
    </row>
    <row r="96" spans="1:12" s="6" customFormat="1" ht="37.5" x14ac:dyDescent="0.3">
      <c r="A96" s="98">
        <v>86</v>
      </c>
      <c r="B96" s="21" t="s">
        <v>138</v>
      </c>
      <c r="C96" s="74" t="s">
        <v>5</v>
      </c>
      <c r="D96" s="74" t="s">
        <v>93</v>
      </c>
      <c r="E96" s="75" t="s">
        <v>175</v>
      </c>
      <c r="F96" s="74" t="s">
        <v>139</v>
      </c>
      <c r="G96" s="76">
        <f t="shared" si="24"/>
        <v>2152558</v>
      </c>
      <c r="H96" s="76">
        <f t="shared" si="24"/>
        <v>0</v>
      </c>
      <c r="I96" s="76">
        <f t="shared" si="24"/>
        <v>0</v>
      </c>
      <c r="K96" s="76"/>
      <c r="L96" s="76"/>
    </row>
    <row r="97" spans="1:12" s="6" customFormat="1" ht="37.5" x14ac:dyDescent="0.3">
      <c r="A97" s="98">
        <v>87</v>
      </c>
      <c r="B97" s="21" t="s">
        <v>140</v>
      </c>
      <c r="C97" s="74" t="s">
        <v>5</v>
      </c>
      <c r="D97" s="74" t="s">
        <v>93</v>
      </c>
      <c r="E97" s="75" t="s">
        <v>175</v>
      </c>
      <c r="F97" s="74" t="s">
        <v>141</v>
      </c>
      <c r="G97" s="76">
        <f>15000-7442+1427200+717800</f>
        <v>2152558</v>
      </c>
      <c r="H97" s="76">
        <v>0</v>
      </c>
      <c r="I97" s="76">
        <v>0</v>
      </c>
      <c r="K97" s="76">
        <f>1427200+7558</f>
        <v>1434758</v>
      </c>
      <c r="L97" s="76">
        <f>G97-K97</f>
        <v>717800</v>
      </c>
    </row>
    <row r="98" spans="1:12" s="6" customFormat="1" ht="75" x14ac:dyDescent="0.3">
      <c r="A98" s="98">
        <v>88</v>
      </c>
      <c r="B98" s="21" t="s">
        <v>631</v>
      </c>
      <c r="C98" s="74" t="s">
        <v>5</v>
      </c>
      <c r="D98" s="74" t="s">
        <v>93</v>
      </c>
      <c r="E98" s="75" t="s">
        <v>632</v>
      </c>
      <c r="F98" s="74"/>
      <c r="G98" s="76">
        <f t="shared" ref="G98:I99" si="25">G99</f>
        <v>0</v>
      </c>
      <c r="H98" s="76">
        <f t="shared" si="25"/>
        <v>52030900</v>
      </c>
      <c r="I98" s="76">
        <f t="shared" si="25"/>
        <v>0</v>
      </c>
      <c r="K98" s="76"/>
      <c r="L98" s="76"/>
    </row>
    <row r="99" spans="1:12" s="6" customFormat="1" ht="37.5" x14ac:dyDescent="0.3">
      <c r="A99" s="98">
        <v>89</v>
      </c>
      <c r="B99" s="21" t="s">
        <v>138</v>
      </c>
      <c r="C99" s="74" t="s">
        <v>5</v>
      </c>
      <c r="D99" s="74" t="s">
        <v>93</v>
      </c>
      <c r="E99" s="75" t="s">
        <v>632</v>
      </c>
      <c r="F99" s="74" t="s">
        <v>139</v>
      </c>
      <c r="G99" s="76">
        <f t="shared" si="25"/>
        <v>0</v>
      </c>
      <c r="H99" s="76">
        <f t="shared" si="25"/>
        <v>52030900</v>
      </c>
      <c r="I99" s="76">
        <f t="shared" si="25"/>
        <v>0</v>
      </c>
      <c r="K99" s="76"/>
      <c r="L99" s="76"/>
    </row>
    <row r="100" spans="1:12" s="6" customFormat="1" ht="37.5" x14ac:dyDescent="0.3">
      <c r="A100" s="98">
        <v>90</v>
      </c>
      <c r="B100" s="21" t="s">
        <v>140</v>
      </c>
      <c r="C100" s="74" t="s">
        <v>5</v>
      </c>
      <c r="D100" s="74" t="s">
        <v>93</v>
      </c>
      <c r="E100" s="75" t="s">
        <v>632</v>
      </c>
      <c r="F100" s="74" t="s">
        <v>141</v>
      </c>
      <c r="G100" s="76">
        <v>0</v>
      </c>
      <c r="H100" s="76">
        <f>51770700+260200</f>
        <v>52030900</v>
      </c>
      <c r="I100" s="76">
        <v>0</v>
      </c>
      <c r="K100" s="76">
        <f>1427200+7558</f>
        <v>1434758</v>
      </c>
      <c r="L100" s="76">
        <f>G100-K100</f>
        <v>-1434758</v>
      </c>
    </row>
    <row r="101" spans="1:12" s="6" customFormat="1" x14ac:dyDescent="0.3">
      <c r="A101" s="98">
        <v>91</v>
      </c>
      <c r="B101" s="21" t="s">
        <v>94</v>
      </c>
      <c r="C101" s="74" t="s">
        <v>5</v>
      </c>
      <c r="D101" s="74" t="s">
        <v>95</v>
      </c>
      <c r="E101" s="75"/>
      <c r="F101" s="74"/>
      <c r="G101" s="76">
        <f>G102</f>
        <v>40000</v>
      </c>
      <c r="H101" s="76">
        <f t="shared" ref="H101:I105" si="26">H102</f>
        <v>0</v>
      </c>
      <c r="I101" s="76">
        <f t="shared" si="26"/>
        <v>0</v>
      </c>
      <c r="K101" s="76"/>
      <c r="L101" s="76"/>
    </row>
    <row r="102" spans="1:12" s="6" customFormat="1" ht="37.5" x14ac:dyDescent="0.3">
      <c r="A102" s="98">
        <v>92</v>
      </c>
      <c r="B102" s="21" t="s">
        <v>163</v>
      </c>
      <c r="C102" s="74" t="s">
        <v>5</v>
      </c>
      <c r="D102" s="74" t="s">
        <v>95</v>
      </c>
      <c r="E102" s="75" t="s">
        <v>164</v>
      </c>
      <c r="F102" s="74"/>
      <c r="G102" s="76">
        <f>G103</f>
        <v>40000</v>
      </c>
      <c r="H102" s="76">
        <f t="shared" si="26"/>
        <v>0</v>
      </c>
      <c r="I102" s="76">
        <f t="shared" si="26"/>
        <v>0</v>
      </c>
      <c r="K102" s="76"/>
      <c r="L102" s="76"/>
    </row>
    <row r="103" spans="1:12" s="6" customFormat="1" ht="37.5" x14ac:dyDescent="0.3">
      <c r="A103" s="98">
        <v>93</v>
      </c>
      <c r="B103" s="21" t="s">
        <v>176</v>
      </c>
      <c r="C103" s="74" t="s">
        <v>5</v>
      </c>
      <c r="D103" s="74" t="s">
        <v>95</v>
      </c>
      <c r="E103" s="75" t="s">
        <v>177</v>
      </c>
      <c r="F103" s="74"/>
      <c r="G103" s="76">
        <f>G104</f>
        <v>40000</v>
      </c>
      <c r="H103" s="76">
        <f t="shared" si="26"/>
        <v>0</v>
      </c>
      <c r="I103" s="76">
        <f t="shared" si="26"/>
        <v>0</v>
      </c>
      <c r="K103" s="76"/>
      <c r="L103" s="76"/>
    </row>
    <row r="104" spans="1:12" s="6" customFormat="1" ht="93.75" x14ac:dyDescent="0.3">
      <c r="A104" s="98">
        <v>94</v>
      </c>
      <c r="B104" s="21" t="s">
        <v>178</v>
      </c>
      <c r="C104" s="74" t="s">
        <v>5</v>
      </c>
      <c r="D104" s="74" t="s">
        <v>95</v>
      </c>
      <c r="E104" s="75" t="s">
        <v>179</v>
      </c>
      <c r="F104" s="111"/>
      <c r="G104" s="76">
        <f>G105</f>
        <v>40000</v>
      </c>
      <c r="H104" s="76">
        <f t="shared" si="26"/>
        <v>0</v>
      </c>
      <c r="I104" s="76">
        <f t="shared" si="26"/>
        <v>0</v>
      </c>
      <c r="K104" s="76"/>
      <c r="L104" s="76"/>
    </row>
    <row r="105" spans="1:12" s="6" customFormat="1" ht="37.5" x14ac:dyDescent="0.3">
      <c r="A105" s="98">
        <v>95</v>
      </c>
      <c r="B105" s="21" t="s">
        <v>138</v>
      </c>
      <c r="C105" s="74" t="s">
        <v>5</v>
      </c>
      <c r="D105" s="74" t="s">
        <v>95</v>
      </c>
      <c r="E105" s="75" t="s">
        <v>179</v>
      </c>
      <c r="F105" s="74" t="s">
        <v>139</v>
      </c>
      <c r="G105" s="76">
        <f>G106</f>
        <v>40000</v>
      </c>
      <c r="H105" s="76">
        <f t="shared" si="26"/>
        <v>0</v>
      </c>
      <c r="I105" s="76">
        <f t="shared" si="26"/>
        <v>0</v>
      </c>
      <c r="K105" s="76"/>
      <c r="L105" s="76"/>
    </row>
    <row r="106" spans="1:12" s="6" customFormat="1" ht="37.5" x14ac:dyDescent="0.3">
      <c r="A106" s="98">
        <v>96</v>
      </c>
      <c r="B106" s="21" t="s">
        <v>140</v>
      </c>
      <c r="C106" s="74" t="s">
        <v>5</v>
      </c>
      <c r="D106" s="74" t="s">
        <v>95</v>
      </c>
      <c r="E106" s="75" t="s">
        <v>179</v>
      </c>
      <c r="F106" s="74" t="s">
        <v>141</v>
      </c>
      <c r="G106" s="76">
        <f>10000+30000</f>
        <v>40000</v>
      </c>
      <c r="H106" s="76">
        <v>0</v>
      </c>
      <c r="I106" s="76">
        <v>0</v>
      </c>
      <c r="K106" s="76">
        <v>40000</v>
      </c>
      <c r="L106" s="76">
        <f>G106-K106</f>
        <v>0</v>
      </c>
    </row>
    <row r="107" spans="1:12" s="73" customFormat="1" x14ac:dyDescent="0.3">
      <c r="A107" s="98">
        <v>97</v>
      </c>
      <c r="B107" s="69" t="s">
        <v>180</v>
      </c>
      <c r="C107" s="70" t="s">
        <v>5</v>
      </c>
      <c r="D107" s="70" t="s">
        <v>97</v>
      </c>
      <c r="E107" s="71"/>
      <c r="F107" s="70"/>
      <c r="G107" s="72">
        <f>G108+G114</f>
        <v>6085304</v>
      </c>
      <c r="H107" s="72">
        <f>H108+H114</f>
        <v>2078461</v>
      </c>
      <c r="I107" s="72">
        <f>I108+I114</f>
        <v>1908461</v>
      </c>
      <c r="K107" s="72"/>
      <c r="L107" s="72"/>
    </row>
    <row r="108" spans="1:12" s="6" customFormat="1" x14ac:dyDescent="0.3">
      <c r="A108" s="98">
        <v>98</v>
      </c>
      <c r="B108" s="21" t="s">
        <v>98</v>
      </c>
      <c r="C108" s="74" t="s">
        <v>5</v>
      </c>
      <c r="D108" s="74" t="s">
        <v>99</v>
      </c>
      <c r="E108" s="75"/>
      <c r="F108" s="74"/>
      <c r="G108" s="76">
        <f>G109</f>
        <v>5000</v>
      </c>
      <c r="H108" s="76">
        <f t="shared" ref="H108:I110" si="27">H109</f>
        <v>0</v>
      </c>
      <c r="I108" s="76">
        <f t="shared" si="27"/>
        <v>0</v>
      </c>
      <c r="K108" s="76"/>
      <c r="L108" s="76"/>
    </row>
    <row r="109" spans="1:12" s="6" customFormat="1" ht="37.5" x14ac:dyDescent="0.3">
      <c r="A109" s="98">
        <v>99</v>
      </c>
      <c r="B109" s="21" t="s">
        <v>163</v>
      </c>
      <c r="C109" s="74" t="s">
        <v>5</v>
      </c>
      <c r="D109" s="74" t="s">
        <v>99</v>
      </c>
      <c r="E109" s="75" t="s">
        <v>164</v>
      </c>
      <c r="F109" s="74"/>
      <c r="G109" s="76">
        <f>G110</f>
        <v>5000</v>
      </c>
      <c r="H109" s="76">
        <f t="shared" si="27"/>
        <v>0</v>
      </c>
      <c r="I109" s="76">
        <f t="shared" si="27"/>
        <v>0</v>
      </c>
      <c r="K109" s="76"/>
      <c r="L109" s="76"/>
    </row>
    <row r="110" spans="1:12" s="6" customFormat="1" ht="37.5" x14ac:dyDescent="0.3">
      <c r="A110" s="98">
        <v>100</v>
      </c>
      <c r="B110" s="21" t="s">
        <v>170</v>
      </c>
      <c r="C110" s="74" t="s">
        <v>5</v>
      </c>
      <c r="D110" s="74" t="s">
        <v>99</v>
      </c>
      <c r="E110" s="75" t="s">
        <v>171</v>
      </c>
      <c r="F110" s="74"/>
      <c r="G110" s="76">
        <f>G111</f>
        <v>5000</v>
      </c>
      <c r="H110" s="76">
        <f t="shared" si="27"/>
        <v>0</v>
      </c>
      <c r="I110" s="76">
        <f t="shared" si="27"/>
        <v>0</v>
      </c>
      <c r="K110" s="76"/>
      <c r="L110" s="76"/>
    </row>
    <row r="111" spans="1:12" s="6" customFormat="1" ht="56.25" x14ac:dyDescent="0.3">
      <c r="A111" s="98">
        <v>101</v>
      </c>
      <c r="B111" s="21" t="s">
        <v>181</v>
      </c>
      <c r="C111" s="74" t="s">
        <v>5</v>
      </c>
      <c r="D111" s="74" t="s">
        <v>99</v>
      </c>
      <c r="E111" s="75" t="s">
        <v>182</v>
      </c>
      <c r="F111" s="74"/>
      <c r="G111" s="76">
        <f>G112</f>
        <v>5000</v>
      </c>
      <c r="H111" s="76">
        <f>H112</f>
        <v>0</v>
      </c>
      <c r="I111" s="76">
        <f>I112</f>
        <v>0</v>
      </c>
      <c r="K111" s="76"/>
      <c r="L111" s="76"/>
    </row>
    <row r="112" spans="1:12" s="6" customFormat="1" ht="37.5" x14ac:dyDescent="0.3">
      <c r="A112" s="98">
        <v>102</v>
      </c>
      <c r="B112" s="21" t="s">
        <v>138</v>
      </c>
      <c r="C112" s="74" t="s">
        <v>5</v>
      </c>
      <c r="D112" s="74" t="s">
        <v>99</v>
      </c>
      <c r="E112" s="75" t="s">
        <v>182</v>
      </c>
      <c r="F112" s="74" t="s">
        <v>139</v>
      </c>
      <c r="G112" s="76">
        <f>G113</f>
        <v>5000</v>
      </c>
      <c r="H112" s="76">
        <f>H113</f>
        <v>0</v>
      </c>
      <c r="I112" s="76">
        <f>I113</f>
        <v>0</v>
      </c>
      <c r="K112" s="76"/>
      <c r="L112" s="76"/>
    </row>
    <row r="113" spans="1:12" s="6" customFormat="1" ht="37.5" x14ac:dyDescent="0.3">
      <c r="A113" s="98">
        <v>103</v>
      </c>
      <c r="B113" s="21" t="s">
        <v>140</v>
      </c>
      <c r="C113" s="74" t="s">
        <v>5</v>
      </c>
      <c r="D113" s="74" t="s">
        <v>99</v>
      </c>
      <c r="E113" s="75" t="s">
        <v>182</v>
      </c>
      <c r="F113" s="74" t="s">
        <v>141</v>
      </c>
      <c r="G113" s="76">
        <v>5000</v>
      </c>
      <c r="H113" s="76">
        <v>0</v>
      </c>
      <c r="I113" s="76">
        <v>0</v>
      </c>
      <c r="K113" s="76">
        <v>5000</v>
      </c>
      <c r="L113" s="76">
        <f>G113-K113</f>
        <v>0</v>
      </c>
    </row>
    <row r="114" spans="1:12" s="6" customFormat="1" x14ac:dyDescent="0.3">
      <c r="A114" s="98">
        <v>104</v>
      </c>
      <c r="B114" s="21" t="s">
        <v>100</v>
      </c>
      <c r="C114" s="74" t="s">
        <v>5</v>
      </c>
      <c r="D114" s="74" t="s">
        <v>101</v>
      </c>
      <c r="E114" s="75"/>
      <c r="F114" s="74"/>
      <c r="G114" s="76">
        <f>G115+G148</f>
        <v>6080304</v>
      </c>
      <c r="H114" s="76">
        <f>H115+H148</f>
        <v>2078461</v>
      </c>
      <c r="I114" s="76">
        <f>I115+I148</f>
        <v>1908461</v>
      </c>
      <c r="K114" s="76"/>
      <c r="L114" s="76"/>
    </row>
    <row r="115" spans="1:12" s="6" customFormat="1" ht="37.5" x14ac:dyDescent="0.3">
      <c r="A115" s="98">
        <v>105</v>
      </c>
      <c r="B115" s="21" t="s">
        <v>163</v>
      </c>
      <c r="C115" s="74" t="s">
        <v>5</v>
      </c>
      <c r="D115" s="74" t="s">
        <v>101</v>
      </c>
      <c r="E115" s="75" t="s">
        <v>164</v>
      </c>
      <c r="F115" s="74"/>
      <c r="G115" s="76">
        <f t="shared" ref="G115:I115" si="28">G116</f>
        <v>4986546</v>
      </c>
      <c r="H115" s="76">
        <f t="shared" si="28"/>
        <v>2078461</v>
      </c>
      <c r="I115" s="76">
        <f t="shared" si="28"/>
        <v>1908461</v>
      </c>
      <c r="K115" s="76"/>
      <c r="L115" s="76"/>
    </row>
    <row r="116" spans="1:12" s="6" customFormat="1" ht="37.5" x14ac:dyDescent="0.3">
      <c r="A116" s="98">
        <v>106</v>
      </c>
      <c r="B116" s="21" t="s">
        <v>170</v>
      </c>
      <c r="C116" s="74" t="s">
        <v>5</v>
      </c>
      <c r="D116" s="74" t="s">
        <v>101</v>
      </c>
      <c r="E116" s="75" t="s">
        <v>171</v>
      </c>
      <c r="F116" s="74"/>
      <c r="G116" s="76">
        <f>G120+G125+G128+G133+G136+G139+G142+G117+G145</f>
        <v>4986546</v>
      </c>
      <c r="H116" s="76">
        <f t="shared" ref="H116:I116" si="29">H120+H125+H128+H133+H136+H139+H142+H117+H145</f>
        <v>2078461</v>
      </c>
      <c r="I116" s="76">
        <f t="shared" si="29"/>
        <v>1908461</v>
      </c>
      <c r="K116" s="76"/>
      <c r="L116" s="76"/>
    </row>
    <row r="117" spans="1:12" s="6" customFormat="1" ht="75" x14ac:dyDescent="0.3">
      <c r="A117" s="98">
        <v>107</v>
      </c>
      <c r="B117" s="21" t="s">
        <v>634</v>
      </c>
      <c r="C117" s="74" t="s">
        <v>5</v>
      </c>
      <c r="D117" s="74" t="s">
        <v>101</v>
      </c>
      <c r="E117" s="75" t="s">
        <v>608</v>
      </c>
      <c r="F117" s="75"/>
      <c r="G117" s="76">
        <f t="shared" ref="G117:I118" si="30">G118</f>
        <v>85300</v>
      </c>
      <c r="H117" s="76">
        <f t="shared" si="30"/>
        <v>0</v>
      </c>
      <c r="I117" s="76">
        <f t="shared" si="30"/>
        <v>0</v>
      </c>
      <c r="K117" s="76"/>
      <c r="L117" s="76"/>
    </row>
    <row r="118" spans="1:12" s="6" customFormat="1" ht="37.5" x14ac:dyDescent="0.3">
      <c r="A118" s="98">
        <v>108</v>
      </c>
      <c r="B118" s="104" t="s">
        <v>138</v>
      </c>
      <c r="C118" s="74" t="s">
        <v>5</v>
      </c>
      <c r="D118" s="74" t="s">
        <v>101</v>
      </c>
      <c r="E118" s="75" t="s">
        <v>608</v>
      </c>
      <c r="F118" s="74" t="s">
        <v>139</v>
      </c>
      <c r="G118" s="76">
        <f t="shared" si="30"/>
        <v>85300</v>
      </c>
      <c r="H118" s="76">
        <f t="shared" si="30"/>
        <v>0</v>
      </c>
      <c r="I118" s="76">
        <f t="shared" si="30"/>
        <v>0</v>
      </c>
      <c r="K118" s="76"/>
      <c r="L118" s="76"/>
    </row>
    <row r="119" spans="1:12" s="6" customFormat="1" ht="37.5" x14ac:dyDescent="0.3">
      <c r="A119" s="98">
        <v>109</v>
      </c>
      <c r="B119" s="104" t="s">
        <v>140</v>
      </c>
      <c r="C119" s="74" t="s">
        <v>5</v>
      </c>
      <c r="D119" s="74" t="s">
        <v>101</v>
      </c>
      <c r="E119" s="75" t="s">
        <v>608</v>
      </c>
      <c r="F119" s="75" t="s">
        <v>141</v>
      </c>
      <c r="G119" s="76">
        <v>85300</v>
      </c>
      <c r="H119" s="76">
        <v>0</v>
      </c>
      <c r="I119" s="76">
        <v>0</v>
      </c>
      <c r="K119" s="76">
        <f>3000+2000</f>
        <v>5000</v>
      </c>
      <c r="L119" s="76">
        <f>G119-K119</f>
        <v>80300</v>
      </c>
    </row>
    <row r="120" spans="1:12" s="6" customFormat="1" ht="56.25" x14ac:dyDescent="0.3">
      <c r="A120" s="98">
        <v>110</v>
      </c>
      <c r="B120" s="21" t="s">
        <v>184</v>
      </c>
      <c r="C120" s="74" t="s">
        <v>5</v>
      </c>
      <c r="D120" s="74" t="s">
        <v>101</v>
      </c>
      <c r="E120" s="75" t="s">
        <v>185</v>
      </c>
      <c r="F120" s="74"/>
      <c r="G120" s="76">
        <f>G121+G123</f>
        <v>2340384</v>
      </c>
      <c r="H120" s="76">
        <f>H121+H123</f>
        <v>2078461</v>
      </c>
      <c r="I120" s="76">
        <f>I121+I123</f>
        <v>1908461</v>
      </c>
      <c r="K120" s="76"/>
      <c r="L120" s="76"/>
    </row>
    <row r="121" spans="1:12" s="6" customFormat="1" ht="75" x14ac:dyDescent="0.3">
      <c r="A121" s="98">
        <v>111</v>
      </c>
      <c r="B121" s="21" t="s">
        <v>127</v>
      </c>
      <c r="C121" s="74" t="s">
        <v>5</v>
      </c>
      <c r="D121" s="74" t="s">
        <v>101</v>
      </c>
      <c r="E121" s="75" t="s">
        <v>185</v>
      </c>
      <c r="F121" s="74" t="s">
        <v>128</v>
      </c>
      <c r="G121" s="76">
        <f>G122</f>
        <v>1760384</v>
      </c>
      <c r="H121" s="76">
        <f>H122</f>
        <v>1658461</v>
      </c>
      <c r="I121" s="76">
        <f>I122</f>
        <v>1658461</v>
      </c>
      <c r="K121" s="76"/>
      <c r="L121" s="76"/>
    </row>
    <row r="122" spans="1:12" s="6" customFormat="1" ht="37.5" x14ac:dyDescent="0.3">
      <c r="A122" s="98">
        <v>112</v>
      </c>
      <c r="B122" s="104" t="s">
        <v>129</v>
      </c>
      <c r="C122" s="74" t="s">
        <v>5</v>
      </c>
      <c r="D122" s="74" t="s">
        <v>101</v>
      </c>
      <c r="E122" s="75" t="s">
        <v>185</v>
      </c>
      <c r="F122" s="74" t="s">
        <v>183</v>
      </c>
      <c r="G122" s="76">
        <f>1658461+68282+10000+23641</f>
        <v>1760384</v>
      </c>
      <c r="H122" s="158">
        <v>1658461</v>
      </c>
      <c r="I122" s="158">
        <v>1658461</v>
      </c>
      <c r="K122" s="76">
        <f>1340928+10100+409356</f>
        <v>1760384</v>
      </c>
      <c r="L122" s="76">
        <f>G122-K122</f>
        <v>0</v>
      </c>
    </row>
    <row r="123" spans="1:12" s="6" customFormat="1" ht="37.5" x14ac:dyDescent="0.3">
      <c r="A123" s="98">
        <v>113</v>
      </c>
      <c r="B123" s="104" t="s">
        <v>138</v>
      </c>
      <c r="C123" s="74" t="s">
        <v>5</v>
      </c>
      <c r="D123" s="74" t="s">
        <v>101</v>
      </c>
      <c r="E123" s="75" t="s">
        <v>185</v>
      </c>
      <c r="F123" s="74" t="s">
        <v>139</v>
      </c>
      <c r="G123" s="76">
        <f>G124</f>
        <v>580000</v>
      </c>
      <c r="H123" s="76">
        <f>H124</f>
        <v>420000</v>
      </c>
      <c r="I123" s="76">
        <f>I124</f>
        <v>250000</v>
      </c>
      <c r="K123" s="76"/>
      <c r="L123" s="76"/>
    </row>
    <row r="124" spans="1:12" s="6" customFormat="1" ht="37.5" customHeight="1" x14ac:dyDescent="0.3">
      <c r="A124" s="98">
        <v>114</v>
      </c>
      <c r="B124" s="104" t="s">
        <v>140</v>
      </c>
      <c r="C124" s="74" t="s">
        <v>5</v>
      </c>
      <c r="D124" s="74" t="s">
        <v>101</v>
      </c>
      <c r="E124" s="75" t="s">
        <v>185</v>
      </c>
      <c r="F124" s="75" t="s">
        <v>141</v>
      </c>
      <c r="G124" s="76">
        <f>550000+30000</f>
        <v>580000</v>
      </c>
      <c r="H124" s="158">
        <f>250000+170000</f>
        <v>420000</v>
      </c>
      <c r="I124" s="158">
        <v>250000</v>
      </c>
      <c r="K124" s="76">
        <f>30000+550000</f>
        <v>580000</v>
      </c>
      <c r="L124" s="76">
        <f>G124-K124</f>
        <v>0</v>
      </c>
    </row>
    <row r="125" spans="1:12" s="6" customFormat="1" ht="75" x14ac:dyDescent="0.3">
      <c r="A125" s="98">
        <v>115</v>
      </c>
      <c r="B125" s="21" t="s">
        <v>186</v>
      </c>
      <c r="C125" s="74" t="s">
        <v>5</v>
      </c>
      <c r="D125" s="74" t="s">
        <v>101</v>
      </c>
      <c r="E125" s="75" t="s">
        <v>187</v>
      </c>
      <c r="F125" s="75"/>
      <c r="G125" s="76">
        <f t="shared" ref="G125:I126" si="31">G126</f>
        <v>5000</v>
      </c>
      <c r="H125" s="76">
        <f t="shared" si="31"/>
        <v>0</v>
      </c>
      <c r="I125" s="76">
        <f t="shared" si="31"/>
        <v>0</v>
      </c>
      <c r="K125" s="76"/>
      <c r="L125" s="76"/>
    </row>
    <row r="126" spans="1:12" s="6" customFormat="1" ht="37.5" x14ac:dyDescent="0.3">
      <c r="A126" s="98">
        <v>116</v>
      </c>
      <c r="B126" s="104" t="s">
        <v>138</v>
      </c>
      <c r="C126" s="74" t="s">
        <v>5</v>
      </c>
      <c r="D126" s="74" t="s">
        <v>101</v>
      </c>
      <c r="E126" s="75" t="s">
        <v>187</v>
      </c>
      <c r="F126" s="74" t="s">
        <v>139</v>
      </c>
      <c r="G126" s="76">
        <f t="shared" si="31"/>
        <v>5000</v>
      </c>
      <c r="H126" s="76">
        <f t="shared" si="31"/>
        <v>0</v>
      </c>
      <c r="I126" s="76">
        <f t="shared" si="31"/>
        <v>0</v>
      </c>
      <c r="K126" s="76"/>
      <c r="L126" s="76"/>
    </row>
    <row r="127" spans="1:12" s="6" customFormat="1" ht="37.5" x14ac:dyDescent="0.3">
      <c r="A127" s="98">
        <v>117</v>
      </c>
      <c r="B127" s="104" t="s">
        <v>140</v>
      </c>
      <c r="C127" s="74" t="s">
        <v>5</v>
      </c>
      <c r="D127" s="74" t="s">
        <v>101</v>
      </c>
      <c r="E127" s="75" t="s">
        <v>187</v>
      </c>
      <c r="F127" s="75" t="s">
        <v>141</v>
      </c>
      <c r="G127" s="76">
        <v>5000</v>
      </c>
      <c r="H127" s="76">
        <v>0</v>
      </c>
      <c r="I127" s="76">
        <v>0</v>
      </c>
      <c r="K127" s="76">
        <f>3000+2000</f>
        <v>5000</v>
      </c>
      <c r="L127" s="76">
        <f>G127-K127</f>
        <v>0</v>
      </c>
    </row>
    <row r="128" spans="1:12" s="6" customFormat="1" ht="56.25" x14ac:dyDescent="0.3">
      <c r="A128" s="98">
        <v>118</v>
      </c>
      <c r="B128" s="21" t="s">
        <v>188</v>
      </c>
      <c r="C128" s="74" t="s">
        <v>5</v>
      </c>
      <c r="D128" s="74" t="s">
        <v>101</v>
      </c>
      <c r="E128" s="75" t="s">
        <v>189</v>
      </c>
      <c r="F128" s="75"/>
      <c r="G128" s="76">
        <f>G129+G131</f>
        <v>517720</v>
      </c>
      <c r="H128" s="76">
        <f>H129+H131</f>
        <v>0</v>
      </c>
      <c r="I128" s="76">
        <f>I129+I131</f>
        <v>0</v>
      </c>
      <c r="K128" s="76"/>
      <c r="L128" s="76"/>
    </row>
    <row r="129" spans="1:12" s="6" customFormat="1" ht="37.5" x14ac:dyDescent="0.3">
      <c r="A129" s="98">
        <v>119</v>
      </c>
      <c r="B129" s="104" t="s">
        <v>138</v>
      </c>
      <c r="C129" s="74" t="s">
        <v>5</v>
      </c>
      <c r="D129" s="74" t="s">
        <v>101</v>
      </c>
      <c r="E129" s="75" t="s">
        <v>189</v>
      </c>
      <c r="F129" s="74" t="s">
        <v>139</v>
      </c>
      <c r="G129" s="76">
        <f>G130</f>
        <v>515720</v>
      </c>
      <c r="H129" s="76">
        <f t="shared" ref="H129:I131" si="32">H130</f>
        <v>0</v>
      </c>
      <c r="I129" s="76">
        <f t="shared" si="32"/>
        <v>0</v>
      </c>
      <c r="K129" s="76"/>
      <c r="L129" s="76"/>
    </row>
    <row r="130" spans="1:12" s="6" customFormat="1" ht="37.5" customHeight="1" x14ac:dyDescent="0.3">
      <c r="A130" s="98">
        <v>120</v>
      </c>
      <c r="B130" s="104" t="s">
        <v>140</v>
      </c>
      <c r="C130" s="74" t="s">
        <v>5</v>
      </c>
      <c r="D130" s="74" t="s">
        <v>101</v>
      </c>
      <c r="E130" s="75" t="s">
        <v>189</v>
      </c>
      <c r="F130" s="75" t="s">
        <v>141</v>
      </c>
      <c r="G130" s="76">
        <f>410000-50000-50000+70000+55720+80000</f>
        <v>515720</v>
      </c>
      <c r="H130" s="76">
        <v>0</v>
      </c>
      <c r="I130" s="76">
        <v>0</v>
      </c>
      <c r="K130" s="76">
        <f>180000+90000+110000</f>
        <v>380000</v>
      </c>
      <c r="L130" s="76">
        <f>G130-K130</f>
        <v>135720</v>
      </c>
    </row>
    <row r="131" spans="1:12" s="6" customFormat="1" x14ac:dyDescent="0.3">
      <c r="A131" s="98">
        <v>121</v>
      </c>
      <c r="B131" s="104" t="s">
        <v>142</v>
      </c>
      <c r="C131" s="74" t="s">
        <v>5</v>
      </c>
      <c r="D131" s="74" t="s">
        <v>101</v>
      </c>
      <c r="E131" s="75" t="s">
        <v>189</v>
      </c>
      <c r="F131" s="74" t="s">
        <v>143</v>
      </c>
      <c r="G131" s="76">
        <f>G132</f>
        <v>2000</v>
      </c>
      <c r="H131" s="76">
        <f t="shared" si="32"/>
        <v>0</v>
      </c>
      <c r="I131" s="76">
        <f t="shared" si="32"/>
        <v>0</v>
      </c>
      <c r="K131" s="76"/>
      <c r="L131" s="76"/>
    </row>
    <row r="132" spans="1:12" s="6" customFormat="1" ht="18.75" customHeight="1" x14ac:dyDescent="0.3">
      <c r="A132" s="98">
        <v>122</v>
      </c>
      <c r="B132" s="104" t="s">
        <v>144</v>
      </c>
      <c r="C132" s="74" t="s">
        <v>5</v>
      </c>
      <c r="D132" s="74" t="s">
        <v>101</v>
      </c>
      <c r="E132" s="75" t="s">
        <v>189</v>
      </c>
      <c r="F132" s="75" t="s">
        <v>145</v>
      </c>
      <c r="G132" s="76">
        <v>2000</v>
      </c>
      <c r="H132" s="158">
        <v>0</v>
      </c>
      <c r="I132" s="158">
        <v>0</v>
      </c>
      <c r="K132" s="76">
        <v>2000</v>
      </c>
      <c r="L132" s="76">
        <f>G132-K132</f>
        <v>0</v>
      </c>
    </row>
    <row r="133" spans="1:12" s="6" customFormat="1" ht="56.25" x14ac:dyDescent="0.3">
      <c r="A133" s="98">
        <v>123</v>
      </c>
      <c r="B133" s="21" t="s">
        <v>190</v>
      </c>
      <c r="C133" s="74" t="s">
        <v>5</v>
      </c>
      <c r="D133" s="74" t="s">
        <v>101</v>
      </c>
      <c r="E133" s="75" t="s">
        <v>191</v>
      </c>
      <c r="F133" s="75"/>
      <c r="G133" s="76">
        <f t="shared" ref="G133:I134" si="33">G134</f>
        <v>5000</v>
      </c>
      <c r="H133" s="76">
        <f t="shared" si="33"/>
        <v>0</v>
      </c>
      <c r="I133" s="76">
        <f t="shared" si="33"/>
        <v>0</v>
      </c>
      <c r="K133" s="76"/>
      <c r="L133" s="76"/>
    </row>
    <row r="134" spans="1:12" s="6" customFormat="1" ht="37.5" x14ac:dyDescent="0.3">
      <c r="A134" s="98">
        <v>124</v>
      </c>
      <c r="B134" s="104" t="s">
        <v>138</v>
      </c>
      <c r="C134" s="74" t="s">
        <v>5</v>
      </c>
      <c r="D134" s="74" t="s">
        <v>101</v>
      </c>
      <c r="E134" s="75" t="s">
        <v>191</v>
      </c>
      <c r="F134" s="74" t="s">
        <v>139</v>
      </c>
      <c r="G134" s="76">
        <f t="shared" si="33"/>
        <v>5000</v>
      </c>
      <c r="H134" s="76">
        <f t="shared" si="33"/>
        <v>0</v>
      </c>
      <c r="I134" s="76">
        <f t="shared" si="33"/>
        <v>0</v>
      </c>
      <c r="K134" s="76"/>
      <c r="L134" s="76"/>
    </row>
    <row r="135" spans="1:12" s="6" customFormat="1" ht="37.5" x14ac:dyDescent="0.3">
      <c r="A135" s="98">
        <v>125</v>
      </c>
      <c r="B135" s="104" t="s">
        <v>140</v>
      </c>
      <c r="C135" s="74" t="s">
        <v>5</v>
      </c>
      <c r="D135" s="74" t="s">
        <v>101</v>
      </c>
      <c r="E135" s="75" t="s">
        <v>191</v>
      </c>
      <c r="F135" s="75" t="s">
        <v>141</v>
      </c>
      <c r="G135" s="76">
        <v>5000</v>
      </c>
      <c r="H135" s="158">
        <v>0</v>
      </c>
      <c r="I135" s="158">
        <v>0</v>
      </c>
      <c r="K135" s="76">
        <v>5000</v>
      </c>
      <c r="L135" s="76">
        <f>G135-K135</f>
        <v>0</v>
      </c>
    </row>
    <row r="136" spans="1:12" s="6" customFormat="1" ht="75" x14ac:dyDescent="0.3">
      <c r="A136" s="98">
        <v>126</v>
      </c>
      <c r="B136" s="21" t="s">
        <v>192</v>
      </c>
      <c r="C136" s="74" t="s">
        <v>5</v>
      </c>
      <c r="D136" s="74" t="s">
        <v>101</v>
      </c>
      <c r="E136" s="75" t="s">
        <v>193</v>
      </c>
      <c r="F136" s="75"/>
      <c r="G136" s="76">
        <f t="shared" ref="G136:I137" si="34">G137</f>
        <v>1588581</v>
      </c>
      <c r="H136" s="76">
        <f t="shared" si="34"/>
        <v>0</v>
      </c>
      <c r="I136" s="76">
        <f t="shared" si="34"/>
        <v>0</v>
      </c>
      <c r="K136" s="76"/>
      <c r="L136" s="76"/>
    </row>
    <row r="137" spans="1:12" s="6" customFormat="1" ht="37.5" x14ac:dyDescent="0.3">
      <c r="A137" s="98">
        <v>127</v>
      </c>
      <c r="B137" s="104" t="s">
        <v>138</v>
      </c>
      <c r="C137" s="74" t="s">
        <v>5</v>
      </c>
      <c r="D137" s="74" t="s">
        <v>101</v>
      </c>
      <c r="E137" s="75" t="s">
        <v>193</v>
      </c>
      <c r="F137" s="74" t="s">
        <v>139</v>
      </c>
      <c r="G137" s="76">
        <f>G138</f>
        <v>1588581</v>
      </c>
      <c r="H137" s="76">
        <f>H138</f>
        <v>0</v>
      </c>
      <c r="I137" s="76">
        <f t="shared" si="34"/>
        <v>0</v>
      </c>
      <c r="K137" s="76"/>
      <c r="L137" s="76"/>
    </row>
    <row r="138" spans="1:12" s="6" customFormat="1" ht="37.5" x14ac:dyDescent="0.3">
      <c r="A138" s="98">
        <v>128</v>
      </c>
      <c r="B138" s="104" t="s">
        <v>140</v>
      </c>
      <c r="C138" s="74" t="s">
        <v>5</v>
      </c>
      <c r="D138" s="74" t="s">
        <v>101</v>
      </c>
      <c r="E138" s="75" t="s">
        <v>193</v>
      </c>
      <c r="F138" s="75" t="s">
        <v>141</v>
      </c>
      <c r="G138" s="76">
        <f>50000+38581+1500000</f>
        <v>1588581</v>
      </c>
      <c r="H138" s="76">
        <v>0</v>
      </c>
      <c r="I138" s="76">
        <v>0</v>
      </c>
      <c r="K138" s="76">
        <f>88581+1500000</f>
        <v>1588581</v>
      </c>
      <c r="L138" s="76">
        <f>G138-K138</f>
        <v>0</v>
      </c>
    </row>
    <row r="139" spans="1:12" s="6" customFormat="1" ht="93.75" x14ac:dyDescent="0.3">
      <c r="A139" s="98">
        <v>129</v>
      </c>
      <c r="B139" s="21" t="s">
        <v>570</v>
      </c>
      <c r="C139" s="74" t="s">
        <v>5</v>
      </c>
      <c r="D139" s="74" t="s">
        <v>101</v>
      </c>
      <c r="E139" s="75" t="s">
        <v>571</v>
      </c>
      <c r="F139" s="75"/>
      <c r="G139" s="76">
        <f t="shared" ref="G139:I146" si="35">G140</f>
        <v>112158</v>
      </c>
      <c r="H139" s="76">
        <f t="shared" si="35"/>
        <v>0</v>
      </c>
      <c r="I139" s="76">
        <f t="shared" si="35"/>
        <v>0</v>
      </c>
      <c r="K139" s="76"/>
      <c r="L139" s="76"/>
    </row>
    <row r="140" spans="1:12" s="6" customFormat="1" ht="37.5" x14ac:dyDescent="0.3">
      <c r="A140" s="98">
        <v>130</v>
      </c>
      <c r="B140" s="104" t="s">
        <v>138</v>
      </c>
      <c r="C140" s="74" t="s">
        <v>5</v>
      </c>
      <c r="D140" s="74" t="s">
        <v>101</v>
      </c>
      <c r="E140" s="75" t="s">
        <v>571</v>
      </c>
      <c r="F140" s="74" t="s">
        <v>139</v>
      </c>
      <c r="G140" s="76">
        <f t="shared" si="35"/>
        <v>112158</v>
      </c>
      <c r="H140" s="76">
        <f t="shared" si="35"/>
        <v>0</v>
      </c>
      <c r="I140" s="76">
        <f t="shared" si="35"/>
        <v>0</v>
      </c>
      <c r="K140" s="76"/>
      <c r="L140" s="76"/>
    </row>
    <row r="141" spans="1:12" s="6" customFormat="1" ht="37.5" x14ac:dyDescent="0.3">
      <c r="A141" s="98">
        <v>131</v>
      </c>
      <c r="B141" s="104" t="s">
        <v>140</v>
      </c>
      <c r="C141" s="74" t="s">
        <v>5</v>
      </c>
      <c r="D141" s="74" t="s">
        <v>101</v>
      </c>
      <c r="E141" s="75" t="s">
        <v>571</v>
      </c>
      <c r="F141" s="75" t="s">
        <v>141</v>
      </c>
      <c r="G141" s="76">
        <v>112158</v>
      </c>
      <c r="H141" s="76">
        <v>0</v>
      </c>
      <c r="I141" s="76">
        <v>0</v>
      </c>
      <c r="K141" s="76">
        <v>112158</v>
      </c>
      <c r="L141" s="76">
        <f>G141-K141</f>
        <v>0</v>
      </c>
    </row>
    <row r="142" spans="1:12" s="6" customFormat="1" ht="75" x14ac:dyDescent="0.3">
      <c r="A142" s="98">
        <v>132</v>
      </c>
      <c r="B142" s="21" t="s">
        <v>572</v>
      </c>
      <c r="C142" s="74" t="s">
        <v>5</v>
      </c>
      <c r="D142" s="74" t="s">
        <v>101</v>
      </c>
      <c r="E142" s="75" t="s">
        <v>573</v>
      </c>
      <c r="F142" s="75"/>
      <c r="G142" s="76">
        <f t="shared" si="35"/>
        <v>70865</v>
      </c>
      <c r="H142" s="76">
        <f t="shared" si="35"/>
        <v>0</v>
      </c>
      <c r="I142" s="76">
        <f t="shared" si="35"/>
        <v>0</v>
      </c>
      <c r="K142" s="76"/>
      <c r="L142" s="76"/>
    </row>
    <row r="143" spans="1:12" s="6" customFormat="1" ht="37.5" x14ac:dyDescent="0.3">
      <c r="A143" s="98">
        <v>133</v>
      </c>
      <c r="B143" s="104" t="s">
        <v>138</v>
      </c>
      <c r="C143" s="74" t="s">
        <v>5</v>
      </c>
      <c r="D143" s="74" t="s">
        <v>101</v>
      </c>
      <c r="E143" s="75" t="s">
        <v>573</v>
      </c>
      <c r="F143" s="74" t="s">
        <v>139</v>
      </c>
      <c r="G143" s="76">
        <f t="shared" si="35"/>
        <v>70865</v>
      </c>
      <c r="H143" s="76">
        <f t="shared" si="35"/>
        <v>0</v>
      </c>
      <c r="I143" s="76">
        <f t="shared" si="35"/>
        <v>0</v>
      </c>
      <c r="K143" s="76"/>
      <c r="L143" s="76"/>
    </row>
    <row r="144" spans="1:12" s="6" customFormat="1" ht="37.5" x14ac:dyDescent="0.3">
      <c r="A144" s="98">
        <v>134</v>
      </c>
      <c r="B144" s="104" t="s">
        <v>140</v>
      </c>
      <c r="C144" s="74" t="s">
        <v>5</v>
      </c>
      <c r="D144" s="74" t="s">
        <v>101</v>
      </c>
      <c r="E144" s="75" t="s">
        <v>573</v>
      </c>
      <c r="F144" s="75" t="s">
        <v>141</v>
      </c>
      <c r="G144" s="76">
        <v>70865</v>
      </c>
      <c r="H144" s="76">
        <v>0</v>
      </c>
      <c r="I144" s="76">
        <v>0</v>
      </c>
      <c r="K144" s="76">
        <v>70865</v>
      </c>
      <c r="L144" s="76">
        <f>G144-K144</f>
        <v>0</v>
      </c>
    </row>
    <row r="145" spans="1:12" s="6" customFormat="1" ht="75" x14ac:dyDescent="0.3">
      <c r="A145" s="98">
        <v>135</v>
      </c>
      <c r="B145" s="21" t="s">
        <v>629</v>
      </c>
      <c r="C145" s="74" t="s">
        <v>5</v>
      </c>
      <c r="D145" s="74" t="s">
        <v>101</v>
      </c>
      <c r="E145" s="75" t="s">
        <v>630</v>
      </c>
      <c r="F145" s="75"/>
      <c r="G145" s="76">
        <f t="shared" si="35"/>
        <v>261538</v>
      </c>
      <c r="H145" s="76">
        <f t="shared" si="35"/>
        <v>0</v>
      </c>
      <c r="I145" s="76">
        <f t="shared" si="35"/>
        <v>0</v>
      </c>
      <c r="K145" s="76"/>
      <c r="L145" s="76"/>
    </row>
    <row r="146" spans="1:12" s="6" customFormat="1" ht="37.5" x14ac:dyDescent="0.3">
      <c r="A146" s="98">
        <v>136</v>
      </c>
      <c r="B146" s="104" t="s">
        <v>138</v>
      </c>
      <c r="C146" s="74" t="s">
        <v>5</v>
      </c>
      <c r="D146" s="74" t="s">
        <v>101</v>
      </c>
      <c r="E146" s="75" t="s">
        <v>630</v>
      </c>
      <c r="F146" s="74" t="s">
        <v>139</v>
      </c>
      <c r="G146" s="76">
        <f t="shared" si="35"/>
        <v>261538</v>
      </c>
      <c r="H146" s="76">
        <f t="shared" si="35"/>
        <v>0</v>
      </c>
      <c r="I146" s="76">
        <f t="shared" si="35"/>
        <v>0</v>
      </c>
      <c r="K146" s="76"/>
      <c r="L146" s="76"/>
    </row>
    <row r="147" spans="1:12" s="6" customFormat="1" ht="37.5" x14ac:dyDescent="0.3">
      <c r="A147" s="98">
        <v>137</v>
      </c>
      <c r="B147" s="104" t="s">
        <v>140</v>
      </c>
      <c r="C147" s="74" t="s">
        <v>5</v>
      </c>
      <c r="D147" s="74" t="s">
        <v>101</v>
      </c>
      <c r="E147" s="75" t="s">
        <v>630</v>
      </c>
      <c r="F147" s="75" t="s">
        <v>141</v>
      </c>
      <c r="G147" s="76">
        <f>250000+11538</f>
        <v>261538</v>
      </c>
      <c r="H147" s="76">
        <v>0</v>
      </c>
      <c r="I147" s="76">
        <v>0</v>
      </c>
      <c r="K147" s="76">
        <v>70865</v>
      </c>
      <c r="L147" s="76">
        <f>G147-K147</f>
        <v>190673</v>
      </c>
    </row>
    <row r="148" spans="1:12" s="73" customFormat="1" ht="37.5" x14ac:dyDescent="0.3">
      <c r="A148" s="98">
        <v>138</v>
      </c>
      <c r="B148" s="107" t="s">
        <v>574</v>
      </c>
      <c r="C148" s="70" t="s">
        <v>5</v>
      </c>
      <c r="D148" s="70" t="s">
        <v>101</v>
      </c>
      <c r="E148" s="71" t="s">
        <v>575</v>
      </c>
      <c r="F148" s="71"/>
      <c r="G148" s="72">
        <f t="shared" ref="G148:I154" si="36">G149</f>
        <v>1093758</v>
      </c>
      <c r="H148" s="72">
        <f t="shared" si="36"/>
        <v>0</v>
      </c>
      <c r="I148" s="72">
        <f t="shared" si="36"/>
        <v>0</v>
      </c>
      <c r="K148" s="72"/>
      <c r="L148" s="72"/>
    </row>
    <row r="149" spans="1:12" s="6" customFormat="1" ht="37.5" x14ac:dyDescent="0.3">
      <c r="A149" s="98">
        <v>139</v>
      </c>
      <c r="B149" s="104" t="s">
        <v>576</v>
      </c>
      <c r="C149" s="74" t="s">
        <v>5</v>
      </c>
      <c r="D149" s="74" t="s">
        <v>101</v>
      </c>
      <c r="E149" s="75" t="s">
        <v>577</v>
      </c>
      <c r="F149" s="75"/>
      <c r="G149" s="76">
        <f>G150+G153</f>
        <v>1093758</v>
      </c>
      <c r="H149" s="76">
        <f t="shared" si="36"/>
        <v>0</v>
      </c>
      <c r="I149" s="76">
        <f t="shared" si="36"/>
        <v>0</v>
      </c>
      <c r="K149" s="76"/>
      <c r="L149" s="76"/>
    </row>
    <row r="150" spans="1:12" s="6" customFormat="1" ht="75" x14ac:dyDescent="0.3">
      <c r="A150" s="98">
        <v>140</v>
      </c>
      <c r="B150" s="104" t="s">
        <v>580</v>
      </c>
      <c r="C150" s="74" t="s">
        <v>5</v>
      </c>
      <c r="D150" s="74" t="s">
        <v>101</v>
      </c>
      <c r="E150" s="75" t="s">
        <v>578</v>
      </c>
      <c r="F150" s="75"/>
      <c r="G150" s="76">
        <f t="shared" si="36"/>
        <v>1071882</v>
      </c>
      <c r="H150" s="76">
        <f t="shared" si="36"/>
        <v>0</v>
      </c>
      <c r="I150" s="76">
        <f t="shared" si="36"/>
        <v>0</v>
      </c>
      <c r="K150" s="76"/>
      <c r="L150" s="76"/>
    </row>
    <row r="151" spans="1:12" s="6" customFormat="1" ht="37.5" x14ac:dyDescent="0.3">
      <c r="A151" s="98">
        <v>141</v>
      </c>
      <c r="B151" s="104" t="s">
        <v>138</v>
      </c>
      <c r="C151" s="74" t="s">
        <v>5</v>
      </c>
      <c r="D151" s="74" t="s">
        <v>101</v>
      </c>
      <c r="E151" s="75" t="s">
        <v>578</v>
      </c>
      <c r="F151" s="74" t="s">
        <v>139</v>
      </c>
      <c r="G151" s="76">
        <f t="shared" si="36"/>
        <v>1071882</v>
      </c>
      <c r="H151" s="76">
        <f t="shared" si="36"/>
        <v>0</v>
      </c>
      <c r="I151" s="76">
        <f t="shared" si="36"/>
        <v>0</v>
      </c>
      <c r="K151" s="76"/>
      <c r="L151" s="76"/>
    </row>
    <row r="152" spans="1:12" s="6" customFormat="1" ht="37.5" x14ac:dyDescent="0.3">
      <c r="A152" s="98">
        <v>142</v>
      </c>
      <c r="B152" s="104" t="s">
        <v>140</v>
      </c>
      <c r="C152" s="74" t="s">
        <v>5</v>
      </c>
      <c r="D152" s="74" t="s">
        <v>101</v>
      </c>
      <c r="E152" s="75" t="s">
        <v>578</v>
      </c>
      <c r="F152" s="75" t="s">
        <v>141</v>
      </c>
      <c r="G152" s="76">
        <f>1000000+71882</f>
        <v>1071882</v>
      </c>
      <c r="H152" s="76">
        <v>0</v>
      </c>
      <c r="I152" s="76">
        <v>0</v>
      </c>
      <c r="K152" s="76">
        <f>1000000+71882</f>
        <v>1071882</v>
      </c>
      <c r="L152" s="76">
        <f>G152-K152</f>
        <v>0</v>
      </c>
    </row>
    <row r="153" spans="1:12" s="6" customFormat="1" ht="93.75" x14ac:dyDescent="0.3">
      <c r="A153" s="98">
        <v>143</v>
      </c>
      <c r="B153" s="21" t="s">
        <v>581</v>
      </c>
      <c r="C153" s="74" t="s">
        <v>5</v>
      </c>
      <c r="D153" s="74" t="s">
        <v>101</v>
      </c>
      <c r="E153" s="75" t="s">
        <v>579</v>
      </c>
      <c r="F153" s="75"/>
      <c r="G153" s="76">
        <f t="shared" si="36"/>
        <v>21876</v>
      </c>
      <c r="H153" s="76">
        <f t="shared" si="36"/>
        <v>0</v>
      </c>
      <c r="I153" s="76">
        <f t="shared" si="36"/>
        <v>0</v>
      </c>
      <c r="K153" s="76"/>
      <c r="L153" s="76"/>
    </row>
    <row r="154" spans="1:12" s="6" customFormat="1" ht="37.5" x14ac:dyDescent="0.3">
      <c r="A154" s="98">
        <v>144</v>
      </c>
      <c r="B154" s="104" t="s">
        <v>138</v>
      </c>
      <c r="C154" s="74" t="s">
        <v>5</v>
      </c>
      <c r="D154" s="74" t="s">
        <v>101</v>
      </c>
      <c r="E154" s="75" t="s">
        <v>579</v>
      </c>
      <c r="F154" s="74" t="s">
        <v>139</v>
      </c>
      <c r="G154" s="76">
        <f t="shared" si="36"/>
        <v>21876</v>
      </c>
      <c r="H154" s="76">
        <f t="shared" si="36"/>
        <v>0</v>
      </c>
      <c r="I154" s="76">
        <f t="shared" si="36"/>
        <v>0</v>
      </c>
      <c r="K154" s="76"/>
      <c r="L154" s="76"/>
    </row>
    <row r="155" spans="1:12" s="6" customFormat="1" ht="37.5" x14ac:dyDescent="0.3">
      <c r="A155" s="98">
        <v>145</v>
      </c>
      <c r="B155" s="104" t="s">
        <v>140</v>
      </c>
      <c r="C155" s="74" t="s">
        <v>5</v>
      </c>
      <c r="D155" s="74" t="s">
        <v>101</v>
      </c>
      <c r="E155" s="75" t="s">
        <v>579</v>
      </c>
      <c r="F155" s="75" t="s">
        <v>141</v>
      </c>
      <c r="G155" s="76">
        <v>21876</v>
      </c>
      <c r="H155" s="76">
        <v>0</v>
      </c>
      <c r="I155" s="76">
        <v>0</v>
      </c>
      <c r="K155" s="76">
        <v>21876</v>
      </c>
      <c r="L155" s="76">
        <f>G155-K155</f>
        <v>0</v>
      </c>
    </row>
    <row r="156" spans="1:12" s="73" customFormat="1" x14ac:dyDescent="0.3">
      <c r="A156" s="98">
        <v>146</v>
      </c>
      <c r="B156" s="107" t="s">
        <v>194</v>
      </c>
      <c r="C156" s="70" t="s">
        <v>5</v>
      </c>
      <c r="D156" s="70" t="s">
        <v>103</v>
      </c>
      <c r="E156" s="71"/>
      <c r="F156" s="71"/>
      <c r="G156" s="72">
        <f t="shared" ref="G156:I159" si="37">G157</f>
        <v>76400</v>
      </c>
      <c r="H156" s="72">
        <f t="shared" si="37"/>
        <v>0</v>
      </c>
      <c r="I156" s="72">
        <f>I157</f>
        <v>0</v>
      </c>
      <c r="K156" s="72"/>
      <c r="L156" s="72"/>
    </row>
    <row r="157" spans="1:12" s="6" customFormat="1" x14ac:dyDescent="0.3">
      <c r="A157" s="98">
        <v>147</v>
      </c>
      <c r="B157" s="104" t="s">
        <v>195</v>
      </c>
      <c r="C157" s="74" t="s">
        <v>5</v>
      </c>
      <c r="D157" s="74" t="s">
        <v>105</v>
      </c>
      <c r="E157" s="75"/>
      <c r="F157" s="75"/>
      <c r="G157" s="76">
        <f t="shared" si="37"/>
        <v>76400</v>
      </c>
      <c r="H157" s="76">
        <f t="shared" si="37"/>
        <v>0</v>
      </c>
      <c r="I157" s="76">
        <f>I158</f>
        <v>0</v>
      </c>
      <c r="K157" s="76"/>
      <c r="L157" s="76"/>
    </row>
    <row r="158" spans="1:12" s="6" customFormat="1" ht="37.5" x14ac:dyDescent="0.3">
      <c r="A158" s="98">
        <v>148</v>
      </c>
      <c r="B158" s="21" t="s">
        <v>163</v>
      </c>
      <c r="C158" s="74" t="s">
        <v>5</v>
      </c>
      <c r="D158" s="74" t="s">
        <v>105</v>
      </c>
      <c r="E158" s="75" t="s">
        <v>164</v>
      </c>
      <c r="F158" s="75"/>
      <c r="G158" s="76">
        <f t="shared" si="37"/>
        <v>76400</v>
      </c>
      <c r="H158" s="76">
        <f t="shared" si="37"/>
        <v>0</v>
      </c>
      <c r="I158" s="76">
        <f>I159</f>
        <v>0</v>
      </c>
      <c r="K158" s="76"/>
      <c r="L158" s="76"/>
    </row>
    <row r="159" spans="1:12" s="6" customFormat="1" x14ac:dyDescent="0.3">
      <c r="A159" s="98">
        <v>149</v>
      </c>
      <c r="B159" s="21" t="s">
        <v>196</v>
      </c>
      <c r="C159" s="74" t="s">
        <v>5</v>
      </c>
      <c r="D159" s="74" t="s">
        <v>105</v>
      </c>
      <c r="E159" s="75" t="s">
        <v>197</v>
      </c>
      <c r="F159" s="75"/>
      <c r="G159" s="76">
        <f>G160</f>
        <v>76400</v>
      </c>
      <c r="H159" s="76">
        <f t="shared" si="37"/>
        <v>0</v>
      </c>
      <c r="I159" s="76">
        <f t="shared" si="37"/>
        <v>0</v>
      </c>
      <c r="K159" s="76"/>
      <c r="L159" s="76"/>
    </row>
    <row r="160" spans="1:12" s="6" customFormat="1" ht="75" x14ac:dyDescent="0.3">
      <c r="A160" s="98">
        <v>150</v>
      </c>
      <c r="B160" s="21" t="s">
        <v>198</v>
      </c>
      <c r="C160" s="74" t="s">
        <v>5</v>
      </c>
      <c r="D160" s="74" t="s">
        <v>105</v>
      </c>
      <c r="E160" s="75" t="s">
        <v>199</v>
      </c>
      <c r="F160" s="75"/>
      <c r="G160" s="76">
        <f t="shared" ref="G160:I161" si="38">G161</f>
        <v>76400</v>
      </c>
      <c r="H160" s="76">
        <f t="shared" si="38"/>
        <v>0</v>
      </c>
      <c r="I160" s="76">
        <f t="shared" si="38"/>
        <v>0</v>
      </c>
      <c r="K160" s="76"/>
      <c r="L160" s="76"/>
    </row>
    <row r="161" spans="1:12" s="6" customFormat="1" ht="37.5" x14ac:dyDescent="0.3">
      <c r="A161" s="98">
        <v>151</v>
      </c>
      <c r="B161" s="104" t="s">
        <v>138</v>
      </c>
      <c r="C161" s="74" t="s">
        <v>5</v>
      </c>
      <c r="D161" s="74" t="s">
        <v>105</v>
      </c>
      <c r="E161" s="75" t="s">
        <v>199</v>
      </c>
      <c r="F161" s="75" t="s">
        <v>139</v>
      </c>
      <c r="G161" s="76">
        <f t="shared" si="38"/>
        <v>76400</v>
      </c>
      <c r="H161" s="76">
        <f t="shared" si="38"/>
        <v>0</v>
      </c>
      <c r="I161" s="76">
        <f t="shared" si="38"/>
        <v>0</v>
      </c>
      <c r="K161" s="76"/>
      <c r="L161" s="76"/>
    </row>
    <row r="162" spans="1:12" s="6" customFormat="1" ht="37.5" x14ac:dyDescent="0.3">
      <c r="A162" s="98">
        <v>152</v>
      </c>
      <c r="B162" s="104" t="s">
        <v>140</v>
      </c>
      <c r="C162" s="74" t="s">
        <v>5</v>
      </c>
      <c r="D162" s="74" t="s">
        <v>105</v>
      </c>
      <c r="E162" s="75" t="s">
        <v>199</v>
      </c>
      <c r="F162" s="75" t="s">
        <v>141</v>
      </c>
      <c r="G162" s="76">
        <f>50000+26400</f>
        <v>76400</v>
      </c>
      <c r="H162" s="158">
        <v>0</v>
      </c>
      <c r="I162" s="158">
        <v>0</v>
      </c>
      <c r="K162" s="76">
        <v>50000</v>
      </c>
      <c r="L162" s="76">
        <f>G162-K162</f>
        <v>26400</v>
      </c>
    </row>
    <row r="163" spans="1:12" s="73" customFormat="1" x14ac:dyDescent="0.3">
      <c r="A163" s="98">
        <v>153</v>
      </c>
      <c r="B163" s="107" t="s">
        <v>200</v>
      </c>
      <c r="C163" s="70" t="s">
        <v>5</v>
      </c>
      <c r="D163" s="70" t="s">
        <v>107</v>
      </c>
      <c r="E163" s="71"/>
      <c r="F163" s="71"/>
      <c r="G163" s="72">
        <f>G164</f>
        <v>100000</v>
      </c>
      <c r="H163" s="72">
        <f>H164</f>
        <v>0</v>
      </c>
      <c r="I163" s="72">
        <f>I164</f>
        <v>0</v>
      </c>
      <c r="K163" s="72"/>
      <c r="L163" s="72"/>
    </row>
    <row r="164" spans="1:12" s="6" customFormat="1" x14ac:dyDescent="0.3">
      <c r="A164" s="98">
        <v>154</v>
      </c>
      <c r="B164" s="104" t="s">
        <v>201</v>
      </c>
      <c r="C164" s="74" t="s">
        <v>5</v>
      </c>
      <c r="D164" s="74" t="s">
        <v>109</v>
      </c>
      <c r="E164" s="75"/>
      <c r="F164" s="75"/>
      <c r="G164" s="76">
        <f>G165</f>
        <v>100000</v>
      </c>
      <c r="H164" s="76">
        <f t="shared" ref="H164:I168" si="39">H165</f>
        <v>0</v>
      </c>
      <c r="I164" s="76">
        <f t="shared" si="39"/>
        <v>0</v>
      </c>
      <c r="K164" s="76"/>
      <c r="L164" s="76"/>
    </row>
    <row r="165" spans="1:12" s="6" customFormat="1" ht="37.5" x14ac:dyDescent="0.3">
      <c r="A165" s="98">
        <v>155</v>
      </c>
      <c r="B165" s="21" t="s">
        <v>163</v>
      </c>
      <c r="C165" s="74" t="s">
        <v>5</v>
      </c>
      <c r="D165" s="74" t="s">
        <v>109</v>
      </c>
      <c r="E165" s="75" t="s">
        <v>164</v>
      </c>
      <c r="F165" s="75"/>
      <c r="G165" s="76">
        <f>G166</f>
        <v>100000</v>
      </c>
      <c r="H165" s="76">
        <f t="shared" si="39"/>
        <v>0</v>
      </c>
      <c r="I165" s="76">
        <f t="shared" si="39"/>
        <v>0</v>
      </c>
      <c r="K165" s="76"/>
      <c r="L165" s="76"/>
    </row>
    <row r="166" spans="1:12" s="6" customFormat="1" x14ac:dyDescent="0.3">
      <c r="A166" s="98">
        <v>156</v>
      </c>
      <c r="B166" s="21" t="s">
        <v>196</v>
      </c>
      <c r="C166" s="74" t="s">
        <v>5</v>
      </c>
      <c r="D166" s="74" t="s">
        <v>109</v>
      </c>
      <c r="E166" s="75" t="s">
        <v>197</v>
      </c>
      <c r="F166" s="75"/>
      <c r="G166" s="76">
        <f>G167</f>
        <v>100000</v>
      </c>
      <c r="H166" s="76">
        <f t="shared" si="39"/>
        <v>0</v>
      </c>
      <c r="I166" s="76">
        <f t="shared" si="39"/>
        <v>0</v>
      </c>
      <c r="K166" s="76"/>
      <c r="L166" s="76"/>
    </row>
    <row r="167" spans="1:12" s="6" customFormat="1" ht="75" x14ac:dyDescent="0.3">
      <c r="A167" s="98">
        <v>157</v>
      </c>
      <c r="B167" s="21" t="s">
        <v>202</v>
      </c>
      <c r="C167" s="74" t="s">
        <v>5</v>
      </c>
      <c r="D167" s="74" t="s">
        <v>109</v>
      </c>
      <c r="E167" s="75" t="s">
        <v>203</v>
      </c>
      <c r="F167" s="75"/>
      <c r="G167" s="76">
        <f>G168</f>
        <v>100000</v>
      </c>
      <c r="H167" s="76">
        <f t="shared" si="39"/>
        <v>0</v>
      </c>
      <c r="I167" s="76">
        <f t="shared" si="39"/>
        <v>0</v>
      </c>
      <c r="K167" s="76"/>
      <c r="L167" s="76"/>
    </row>
    <row r="168" spans="1:12" s="6" customFormat="1" ht="37.5" x14ac:dyDescent="0.3">
      <c r="A168" s="98">
        <v>158</v>
      </c>
      <c r="B168" s="104" t="s">
        <v>138</v>
      </c>
      <c r="C168" s="74" t="s">
        <v>5</v>
      </c>
      <c r="D168" s="74" t="s">
        <v>109</v>
      </c>
      <c r="E168" s="75" t="s">
        <v>203</v>
      </c>
      <c r="F168" s="75" t="s">
        <v>139</v>
      </c>
      <c r="G168" s="76">
        <f>G169</f>
        <v>100000</v>
      </c>
      <c r="H168" s="76">
        <f t="shared" si="39"/>
        <v>0</v>
      </c>
      <c r="I168" s="76">
        <f t="shared" si="39"/>
        <v>0</v>
      </c>
      <c r="K168" s="76"/>
      <c r="L168" s="76"/>
    </row>
    <row r="169" spans="1:12" s="6" customFormat="1" ht="37.5" x14ac:dyDescent="0.3">
      <c r="A169" s="98">
        <v>159</v>
      </c>
      <c r="B169" s="104" t="s">
        <v>140</v>
      </c>
      <c r="C169" s="74" t="s">
        <v>5</v>
      </c>
      <c r="D169" s="74" t="s">
        <v>109</v>
      </c>
      <c r="E169" s="75" t="s">
        <v>203</v>
      </c>
      <c r="F169" s="75" t="s">
        <v>141</v>
      </c>
      <c r="G169" s="76">
        <f>50000+50000</f>
        <v>100000</v>
      </c>
      <c r="H169" s="76">
        <v>0</v>
      </c>
      <c r="I169" s="76">
        <v>0</v>
      </c>
      <c r="K169" s="76">
        <v>100000</v>
      </c>
      <c r="L169" s="76">
        <f>G169-K169</f>
        <v>0</v>
      </c>
    </row>
    <row r="170" spans="1:12" s="73" customFormat="1" ht="37.5" x14ac:dyDescent="0.3">
      <c r="A170" s="98">
        <v>160</v>
      </c>
      <c r="B170" s="69" t="s">
        <v>477</v>
      </c>
      <c r="C170" s="70" t="s">
        <v>5</v>
      </c>
      <c r="D170" s="70" t="s">
        <v>110</v>
      </c>
      <c r="E170" s="71"/>
      <c r="F170" s="71"/>
      <c r="G170" s="72">
        <f>G171</f>
        <v>820291</v>
      </c>
      <c r="H170" s="72">
        <f>H171</f>
        <v>820291</v>
      </c>
      <c r="I170" s="72">
        <f>I171</f>
        <v>820291</v>
      </c>
      <c r="K170" s="72"/>
      <c r="L170" s="72"/>
    </row>
    <row r="171" spans="1:12" s="6" customFormat="1" x14ac:dyDescent="0.3">
      <c r="A171" s="98">
        <v>161</v>
      </c>
      <c r="B171" s="21" t="s">
        <v>111</v>
      </c>
      <c r="C171" s="74" t="s">
        <v>5</v>
      </c>
      <c r="D171" s="74" t="s">
        <v>112</v>
      </c>
      <c r="E171" s="75"/>
      <c r="F171" s="75"/>
      <c r="G171" s="76">
        <f>G172</f>
        <v>820291</v>
      </c>
      <c r="H171" s="76">
        <f t="shared" ref="H171:I173" si="40">H172</f>
        <v>820291</v>
      </c>
      <c r="I171" s="76">
        <f t="shared" si="40"/>
        <v>820291</v>
      </c>
      <c r="K171" s="76"/>
      <c r="L171" s="76"/>
    </row>
    <row r="172" spans="1:12" s="6" customFormat="1" ht="37.5" x14ac:dyDescent="0.3">
      <c r="A172" s="98">
        <v>162</v>
      </c>
      <c r="B172" s="21" t="s">
        <v>163</v>
      </c>
      <c r="C172" s="74" t="s">
        <v>5</v>
      </c>
      <c r="D172" s="74" t="s">
        <v>112</v>
      </c>
      <c r="E172" s="75" t="s">
        <v>164</v>
      </c>
      <c r="F172" s="75"/>
      <c r="G172" s="76">
        <f>G173</f>
        <v>820291</v>
      </c>
      <c r="H172" s="76">
        <f t="shared" si="40"/>
        <v>820291</v>
      </c>
      <c r="I172" s="76">
        <f t="shared" si="40"/>
        <v>820291</v>
      </c>
      <c r="K172" s="76"/>
      <c r="L172" s="76"/>
    </row>
    <row r="173" spans="1:12" s="6" customFormat="1" ht="37.5" x14ac:dyDescent="0.3">
      <c r="A173" s="98">
        <v>163</v>
      </c>
      <c r="B173" s="21" t="s">
        <v>176</v>
      </c>
      <c r="C173" s="74" t="s">
        <v>5</v>
      </c>
      <c r="D173" s="74" t="s">
        <v>112</v>
      </c>
      <c r="E173" s="75" t="s">
        <v>177</v>
      </c>
      <c r="F173" s="75"/>
      <c r="G173" s="76">
        <f>G174</f>
        <v>820291</v>
      </c>
      <c r="H173" s="76">
        <f t="shared" si="40"/>
        <v>820291</v>
      </c>
      <c r="I173" s="76">
        <f t="shared" si="40"/>
        <v>820291</v>
      </c>
      <c r="K173" s="76"/>
      <c r="L173" s="76"/>
    </row>
    <row r="174" spans="1:12" s="6" customFormat="1" ht="119.25" customHeight="1" x14ac:dyDescent="0.3">
      <c r="A174" s="98">
        <v>164</v>
      </c>
      <c r="B174" s="21" t="s">
        <v>204</v>
      </c>
      <c r="C174" s="74" t="s">
        <v>5</v>
      </c>
      <c r="D174" s="74" t="s">
        <v>112</v>
      </c>
      <c r="E174" s="75" t="s">
        <v>205</v>
      </c>
      <c r="F174" s="75"/>
      <c r="G174" s="76">
        <f t="shared" ref="G174:I175" si="41">G175</f>
        <v>820291</v>
      </c>
      <c r="H174" s="76">
        <f t="shared" si="41"/>
        <v>820291</v>
      </c>
      <c r="I174" s="76">
        <f t="shared" si="41"/>
        <v>820291</v>
      </c>
      <c r="K174" s="76"/>
      <c r="L174" s="76"/>
    </row>
    <row r="175" spans="1:12" s="6" customFormat="1" x14ac:dyDescent="0.3">
      <c r="A175" s="98">
        <v>165</v>
      </c>
      <c r="B175" s="21" t="s">
        <v>206</v>
      </c>
      <c r="C175" s="74" t="s">
        <v>5</v>
      </c>
      <c r="D175" s="74" t="s">
        <v>112</v>
      </c>
      <c r="E175" s="75" t="s">
        <v>205</v>
      </c>
      <c r="F175" s="75" t="s">
        <v>207</v>
      </c>
      <c r="G175" s="76">
        <f t="shared" si="41"/>
        <v>820291</v>
      </c>
      <c r="H175" s="76">
        <f t="shared" si="41"/>
        <v>820291</v>
      </c>
      <c r="I175" s="76">
        <f t="shared" si="41"/>
        <v>820291</v>
      </c>
      <c r="K175" s="76"/>
      <c r="L175" s="76"/>
    </row>
    <row r="176" spans="1:12" s="6" customFormat="1" x14ac:dyDescent="0.3">
      <c r="A176" s="98">
        <v>166</v>
      </c>
      <c r="B176" s="22" t="s">
        <v>208</v>
      </c>
      <c r="C176" s="74" t="s">
        <v>5</v>
      </c>
      <c r="D176" s="74" t="s">
        <v>112</v>
      </c>
      <c r="E176" s="75" t="s">
        <v>205</v>
      </c>
      <c r="F176" s="75" t="s">
        <v>209</v>
      </c>
      <c r="G176" s="76">
        <f>'Приложение 6'!C14</f>
        <v>820291</v>
      </c>
      <c r="H176" s="76">
        <f>'Приложение 6'!D14</f>
        <v>820291</v>
      </c>
      <c r="I176" s="76">
        <f>'Приложение 6'!E14</f>
        <v>820291</v>
      </c>
      <c r="K176" s="76">
        <v>786474</v>
      </c>
      <c r="L176" s="76">
        <f>G176-K176</f>
        <v>33817</v>
      </c>
    </row>
    <row r="177" spans="1:12" s="6" customFormat="1" x14ac:dyDescent="0.3">
      <c r="A177" s="98">
        <v>167</v>
      </c>
      <c r="B177" s="22" t="s">
        <v>210</v>
      </c>
      <c r="C177" s="74"/>
      <c r="D177" s="74"/>
      <c r="E177" s="75"/>
      <c r="F177" s="75"/>
      <c r="G177" s="76"/>
      <c r="H177" s="76">
        <f>'Приложение 2'!L94</f>
        <v>127207</v>
      </c>
      <c r="I177" s="76">
        <f>'Приложение 2'!M94</f>
        <v>250083</v>
      </c>
      <c r="K177" s="76"/>
      <c r="L177" s="76"/>
    </row>
    <row r="178" spans="1:12" s="23" customFormat="1" x14ac:dyDescent="0.3">
      <c r="A178" s="112"/>
      <c r="B178" s="113" t="s">
        <v>114</v>
      </c>
      <c r="C178" s="114"/>
      <c r="D178" s="71"/>
      <c r="E178" s="114"/>
      <c r="F178" s="115"/>
      <c r="G178" s="72">
        <f>G12+G67+G76+G85+G107+G156+G163+G170+G177</f>
        <v>15734680.5</v>
      </c>
      <c r="H178" s="72">
        <f>H12+H67+H76+H85+H107+H156+H163+H170+H177</f>
        <v>59956859</v>
      </c>
      <c r="I178" s="72">
        <f>I12+I67+I76+I85+I107+I156+I163+I170+I177</f>
        <v>8116379</v>
      </c>
      <c r="K178" s="72"/>
      <c r="L178" s="72"/>
    </row>
    <row r="179" spans="1:12" hidden="1" x14ac:dyDescent="0.3">
      <c r="A179" s="16"/>
      <c r="B179" s="116"/>
      <c r="E179" s="24"/>
      <c r="G179" s="18">
        <f>G178-'Приложение 2'!K96</f>
        <v>108012.5</v>
      </c>
      <c r="H179" s="18">
        <f>H178-'Приложение 2'!L96</f>
        <v>0</v>
      </c>
      <c r="I179" s="18">
        <f>I178-'Приложение 2'!M96</f>
        <v>0</v>
      </c>
      <c r="K179" s="18">
        <f>SUM(K11:K178)</f>
        <v>16814299.5</v>
      </c>
      <c r="L179" s="18"/>
    </row>
    <row r="180" spans="1:12" hidden="1" x14ac:dyDescent="0.3">
      <c r="A180" s="16"/>
      <c r="B180" s="116"/>
      <c r="F180" s="117"/>
      <c r="G180" s="118"/>
      <c r="H180" s="118"/>
      <c r="I180" s="118"/>
      <c r="K180" s="118"/>
      <c r="L180" s="118"/>
    </row>
    <row r="181" spans="1:12" hidden="1" x14ac:dyDescent="0.3">
      <c r="A181" s="16"/>
      <c r="B181" s="119"/>
      <c r="G181" s="25"/>
      <c r="H181" s="25"/>
      <c r="I181" s="25"/>
      <c r="K181" s="25"/>
      <c r="L181" s="25"/>
    </row>
    <row r="182" spans="1:12" hidden="1" x14ac:dyDescent="0.3">
      <c r="A182" s="16"/>
      <c r="B182" s="116"/>
      <c r="G182" s="26"/>
      <c r="H182" s="120"/>
      <c r="I182" s="120"/>
      <c r="K182" s="26"/>
      <c r="L182" s="26"/>
    </row>
    <row r="183" spans="1:12" hidden="1" x14ac:dyDescent="0.3">
      <c r="A183" s="16"/>
      <c r="B183" s="116"/>
      <c r="G183" s="25"/>
      <c r="K183" s="25"/>
      <c r="L183" s="25"/>
    </row>
    <row r="184" spans="1:12" hidden="1" x14ac:dyDescent="0.3">
      <c r="A184" s="16"/>
      <c r="B184" s="116"/>
      <c r="G184" s="25"/>
      <c r="K184" s="25"/>
      <c r="L184" s="25"/>
    </row>
    <row r="185" spans="1:12" x14ac:dyDescent="0.3">
      <c r="A185" s="16"/>
      <c r="G185" s="25"/>
      <c r="H185" s="25"/>
      <c r="I185" s="25"/>
      <c r="K185" s="25"/>
      <c r="L185" s="25"/>
    </row>
    <row r="186" spans="1:12" hidden="1" x14ac:dyDescent="0.3">
      <c r="A186" s="16"/>
      <c r="G186" s="25">
        <v>15016880.5</v>
      </c>
      <c r="H186" s="25">
        <f>8186159-H178</f>
        <v>-51770700</v>
      </c>
      <c r="I186" s="25">
        <f>8116379-I178</f>
        <v>0</v>
      </c>
    </row>
    <row r="187" spans="1:12" hidden="1" x14ac:dyDescent="0.3">
      <c r="A187" s="16"/>
      <c r="G187" s="25">
        <f>G178-G186</f>
        <v>717800</v>
      </c>
      <c r="H187" s="20">
        <f>51770700</f>
        <v>51770700</v>
      </c>
    </row>
    <row r="188" spans="1:12" hidden="1" x14ac:dyDescent="0.3">
      <c r="A188" s="16"/>
      <c r="H188" s="25">
        <f>H187+H186</f>
        <v>0</v>
      </c>
    </row>
    <row r="189" spans="1:12" hidden="1" x14ac:dyDescent="0.3">
      <c r="A189" s="16"/>
    </row>
    <row r="190" spans="1:12" x14ac:dyDescent="0.3">
      <c r="A190" s="16"/>
    </row>
    <row r="191" spans="1:12" x14ac:dyDescent="0.3">
      <c r="A191" s="16"/>
    </row>
    <row r="192" spans="1:12" x14ac:dyDescent="0.3">
      <c r="A192" s="16"/>
    </row>
    <row r="193" spans="1:1" x14ac:dyDescent="0.3">
      <c r="A193" s="16"/>
    </row>
    <row r="194" spans="1:1" x14ac:dyDescent="0.3">
      <c r="A194" s="16"/>
    </row>
    <row r="195" spans="1:1" x14ac:dyDescent="0.3">
      <c r="A195" s="16"/>
    </row>
    <row r="196" spans="1:1" x14ac:dyDescent="0.3">
      <c r="A196" s="16"/>
    </row>
    <row r="197" spans="1:1" x14ac:dyDescent="0.3">
      <c r="A197" s="16"/>
    </row>
    <row r="198" spans="1:1" x14ac:dyDescent="0.3">
      <c r="A198" s="16"/>
    </row>
    <row r="199" spans="1:1" x14ac:dyDescent="0.3">
      <c r="A199" s="16"/>
    </row>
    <row r="200" spans="1:1" x14ac:dyDescent="0.3">
      <c r="A200" s="16"/>
    </row>
    <row r="201" spans="1:1" x14ac:dyDescent="0.3">
      <c r="A201" s="16"/>
    </row>
    <row r="202" spans="1:1" x14ac:dyDescent="0.3">
      <c r="A202" s="16"/>
    </row>
    <row r="203" spans="1:1" x14ac:dyDescent="0.3">
      <c r="A203" s="16"/>
    </row>
    <row r="204" spans="1:1" x14ac:dyDescent="0.3">
      <c r="A204" s="16"/>
    </row>
    <row r="205" spans="1:1" x14ac:dyDescent="0.3">
      <c r="A205" s="16"/>
    </row>
    <row r="206" spans="1:1" x14ac:dyDescent="0.3">
      <c r="A206" s="16"/>
    </row>
    <row r="207" spans="1:1" x14ac:dyDescent="0.3">
      <c r="A207" s="16"/>
    </row>
    <row r="208" spans="1:1" x14ac:dyDescent="0.3">
      <c r="A208" s="16"/>
    </row>
    <row r="209" spans="1:1" x14ac:dyDescent="0.3">
      <c r="A209" s="16"/>
    </row>
    <row r="210" spans="1:1" x14ac:dyDescent="0.3">
      <c r="A210" s="16"/>
    </row>
    <row r="211" spans="1:1" x14ac:dyDescent="0.3">
      <c r="A211" s="16"/>
    </row>
    <row r="212" spans="1:1" x14ac:dyDescent="0.3">
      <c r="A212" s="16"/>
    </row>
    <row r="213" spans="1:1" x14ac:dyDescent="0.3">
      <c r="A213" s="16"/>
    </row>
    <row r="214" spans="1:1" x14ac:dyDescent="0.3">
      <c r="A214" s="16"/>
    </row>
    <row r="215" spans="1:1" x14ac:dyDescent="0.3">
      <c r="A215" s="16"/>
    </row>
    <row r="216" spans="1:1" x14ac:dyDescent="0.3">
      <c r="A216" s="16"/>
    </row>
    <row r="217" spans="1:1" x14ac:dyDescent="0.3">
      <c r="A217" s="16"/>
    </row>
    <row r="218" spans="1:1" x14ac:dyDescent="0.3">
      <c r="A218" s="16"/>
    </row>
    <row r="219" spans="1:1" x14ac:dyDescent="0.3">
      <c r="A219" s="16"/>
    </row>
    <row r="220" spans="1:1" x14ac:dyDescent="0.3">
      <c r="A220" s="16"/>
    </row>
    <row r="221" spans="1:1" x14ac:dyDescent="0.3">
      <c r="A221" s="16"/>
    </row>
    <row r="222" spans="1:1" x14ac:dyDescent="0.3">
      <c r="A222" s="16"/>
    </row>
    <row r="223" spans="1:1" x14ac:dyDescent="0.3">
      <c r="A223" s="27"/>
    </row>
    <row r="224" spans="1:1" x14ac:dyDescent="0.3">
      <c r="A224" s="27"/>
    </row>
    <row r="225" spans="1:1" x14ac:dyDescent="0.3">
      <c r="A225" s="27"/>
    </row>
    <row r="226" spans="1:1" x14ac:dyDescent="0.3">
      <c r="A226" s="27"/>
    </row>
    <row r="227" spans="1:1" x14ac:dyDescent="0.3">
      <c r="A227" s="27"/>
    </row>
    <row r="228" spans="1:1" x14ac:dyDescent="0.3">
      <c r="A228" s="27"/>
    </row>
    <row r="229" spans="1:1" x14ac:dyDescent="0.3">
      <c r="A229" s="27"/>
    </row>
    <row r="230" spans="1:1" x14ac:dyDescent="0.3">
      <c r="A230" s="27"/>
    </row>
    <row r="231" spans="1:1" x14ac:dyDescent="0.3">
      <c r="A231" s="27"/>
    </row>
    <row r="246" spans="3:4" x14ac:dyDescent="0.3">
      <c r="C246" s="20"/>
    </row>
    <row r="247" spans="3:4" x14ac:dyDescent="0.3">
      <c r="C247" s="20"/>
      <c r="D247" s="20"/>
    </row>
    <row r="248" spans="3:4" x14ac:dyDescent="0.3">
      <c r="C248" s="20"/>
      <c r="D248" s="20"/>
    </row>
    <row r="249" spans="3:4" x14ac:dyDescent="0.3">
      <c r="C249" s="20"/>
      <c r="D249" s="20"/>
    </row>
    <row r="250" spans="3:4" x14ac:dyDescent="0.3">
      <c r="C250" s="20"/>
      <c r="D250" s="20"/>
    </row>
    <row r="251" spans="3:4" x14ac:dyDescent="0.3">
      <c r="C251" s="20"/>
      <c r="D251" s="20"/>
    </row>
    <row r="252" spans="3:4" x14ac:dyDescent="0.3">
      <c r="C252" s="20"/>
      <c r="D252" s="20"/>
    </row>
    <row r="253" spans="3:4" x14ac:dyDescent="0.3">
      <c r="C253" s="20"/>
      <c r="D253" s="20"/>
    </row>
    <row r="254" spans="3:4" x14ac:dyDescent="0.3">
      <c r="C254" s="20"/>
      <c r="D254" s="20"/>
    </row>
    <row r="255" spans="3:4" x14ac:dyDescent="0.3">
      <c r="C255" s="20"/>
      <c r="D255" s="20"/>
    </row>
    <row r="256" spans="3:4" x14ac:dyDescent="0.3">
      <c r="C256" s="20"/>
      <c r="D256" s="20"/>
    </row>
    <row r="257" spans="3:4" x14ac:dyDescent="0.3">
      <c r="C257" s="20"/>
      <c r="D257" s="20"/>
    </row>
    <row r="258" spans="3:4" x14ac:dyDescent="0.3">
      <c r="C258" s="20"/>
      <c r="D258" s="20"/>
    </row>
    <row r="259" spans="3:4" x14ac:dyDescent="0.3">
      <c r="C259" s="20"/>
      <c r="D259" s="20"/>
    </row>
    <row r="260" spans="3:4" x14ac:dyDescent="0.3">
      <c r="C260" s="20"/>
      <c r="D260" s="20"/>
    </row>
    <row r="261" spans="3:4" x14ac:dyDescent="0.3">
      <c r="C261" s="20"/>
      <c r="D261" s="20"/>
    </row>
    <row r="262" spans="3:4" x14ac:dyDescent="0.3">
      <c r="C262" s="20"/>
      <c r="D262" s="20"/>
    </row>
    <row r="263" spans="3:4" x14ac:dyDescent="0.3">
      <c r="C263" s="20"/>
      <c r="D263" s="20"/>
    </row>
    <row r="264" spans="3:4" x14ac:dyDescent="0.3">
      <c r="C264" s="20"/>
      <c r="D264" s="20"/>
    </row>
    <row r="265" spans="3:4" x14ac:dyDescent="0.3">
      <c r="C265" s="20"/>
      <c r="D265" s="20"/>
    </row>
    <row r="266" spans="3:4" x14ac:dyDescent="0.3">
      <c r="C266" s="20"/>
      <c r="D266" s="20"/>
    </row>
    <row r="267" spans="3:4" x14ac:dyDescent="0.3">
      <c r="C267" s="20"/>
      <c r="D267" s="20"/>
    </row>
    <row r="268" spans="3:4" x14ac:dyDescent="0.3">
      <c r="C268" s="20"/>
      <c r="D268" s="20"/>
    </row>
    <row r="269" spans="3:4" x14ac:dyDescent="0.3">
      <c r="C269" s="20"/>
      <c r="D269" s="20"/>
    </row>
    <row r="270" spans="3:4" x14ac:dyDescent="0.3">
      <c r="C270" s="20"/>
      <c r="D270" s="20"/>
    </row>
    <row r="271" spans="3:4" x14ac:dyDescent="0.3">
      <c r="C271" s="20"/>
      <c r="D271" s="20"/>
    </row>
    <row r="272" spans="3:4" x14ac:dyDescent="0.3">
      <c r="C272" s="20"/>
      <c r="D272" s="20"/>
    </row>
    <row r="273" spans="3:4" x14ac:dyDescent="0.3">
      <c r="C273" s="20"/>
      <c r="D273" s="20"/>
    </row>
    <row r="274" spans="3:4" x14ac:dyDescent="0.3">
      <c r="C274" s="20"/>
      <c r="D274" s="20"/>
    </row>
    <row r="275" spans="3:4" x14ac:dyDescent="0.3">
      <c r="C275" s="20"/>
      <c r="D275" s="20"/>
    </row>
    <row r="276" spans="3:4" x14ac:dyDescent="0.3">
      <c r="C276" s="20"/>
      <c r="D276" s="20"/>
    </row>
    <row r="277" spans="3:4" x14ac:dyDescent="0.3">
      <c r="C277" s="20"/>
      <c r="D277" s="20"/>
    </row>
    <row r="278" spans="3:4" x14ac:dyDescent="0.3">
      <c r="C278" s="20"/>
      <c r="D278" s="20"/>
    </row>
    <row r="279" spans="3:4" x14ac:dyDescent="0.3">
      <c r="C279" s="20"/>
      <c r="D279" s="20"/>
    </row>
    <row r="280" spans="3:4" x14ac:dyDescent="0.3">
      <c r="C280" s="20"/>
      <c r="D280" s="20"/>
    </row>
    <row r="281" spans="3:4" x14ac:dyDescent="0.3">
      <c r="C281" s="20"/>
      <c r="D281" s="20"/>
    </row>
    <row r="282" spans="3:4" x14ac:dyDescent="0.3">
      <c r="C282" s="20"/>
      <c r="D282" s="20"/>
    </row>
    <row r="283" spans="3:4" x14ac:dyDescent="0.3">
      <c r="C283" s="20"/>
      <c r="D283" s="20"/>
    </row>
    <row r="284" spans="3:4" x14ac:dyDescent="0.3">
      <c r="C284" s="20"/>
      <c r="D284" s="20"/>
    </row>
    <row r="285" spans="3:4" x14ac:dyDescent="0.3">
      <c r="C285" s="20"/>
      <c r="D285" s="20"/>
    </row>
    <row r="286" spans="3:4" x14ac:dyDescent="0.3">
      <c r="C286" s="20"/>
      <c r="D286" s="20"/>
    </row>
    <row r="287" spans="3:4" x14ac:dyDescent="0.3">
      <c r="C287" s="20"/>
      <c r="D287" s="20"/>
    </row>
    <row r="288" spans="3:4" x14ac:dyDescent="0.3">
      <c r="C288" s="20"/>
      <c r="D288" s="20"/>
    </row>
    <row r="289" spans="3:4" x14ac:dyDescent="0.3">
      <c r="C289" s="20"/>
      <c r="D289" s="20"/>
    </row>
    <row r="290" spans="3:4" x14ac:dyDescent="0.3">
      <c r="C290" s="20"/>
      <c r="D290" s="20"/>
    </row>
    <row r="291" spans="3:4" x14ac:dyDescent="0.3">
      <c r="C291" s="20"/>
      <c r="D291" s="20"/>
    </row>
    <row r="292" spans="3:4" x14ac:dyDescent="0.3">
      <c r="C292" s="20"/>
      <c r="D292" s="20"/>
    </row>
    <row r="293" spans="3:4" x14ac:dyDescent="0.3">
      <c r="C293" s="20"/>
      <c r="D293" s="20"/>
    </row>
    <row r="294" spans="3:4" x14ac:dyDescent="0.3">
      <c r="C294" s="20"/>
      <c r="D294" s="20"/>
    </row>
    <row r="295" spans="3:4" x14ac:dyDescent="0.3">
      <c r="C295" s="20"/>
      <c r="D295" s="20"/>
    </row>
    <row r="296" spans="3:4" x14ac:dyDescent="0.3">
      <c r="C296" s="20"/>
      <c r="D296" s="20"/>
    </row>
    <row r="297" spans="3:4" x14ac:dyDescent="0.3">
      <c r="C297" s="20"/>
      <c r="D297" s="20"/>
    </row>
    <row r="298" spans="3:4" x14ac:dyDescent="0.3">
      <c r="C298" s="20"/>
      <c r="D298" s="20"/>
    </row>
    <row r="299" spans="3:4" x14ac:dyDescent="0.3">
      <c r="D299" s="20"/>
    </row>
  </sheetData>
  <autoFilter ref="A9:I180"/>
  <mergeCells count="8">
    <mergeCell ref="A7:I7"/>
    <mergeCell ref="A8:I8"/>
    <mergeCell ref="A1:I1"/>
    <mergeCell ref="A2:I2"/>
    <mergeCell ref="A3:I3"/>
    <mergeCell ref="C4:G4"/>
    <mergeCell ref="C5:G5"/>
    <mergeCell ref="C6:G6"/>
  </mergeCells>
  <printOptions horizontalCentered="1"/>
  <pageMargins left="0.62992125984251968" right="3.937007874015748E-2" top="0.39370078740157483" bottom="0.39370078740157483" header="0.31496062992125984" footer="0.31496062992125984"/>
  <pageSetup paperSize="9" scale="4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6"/>
  <sheetViews>
    <sheetView topLeftCell="A79" zoomScale="80" zoomScaleNormal="80" zoomScaleSheetLayoutView="90" workbookViewId="0">
      <selection activeCell="B90" sqref="B90"/>
    </sheetView>
  </sheetViews>
  <sheetFormatPr defaultRowHeight="15.75" x14ac:dyDescent="0.25"/>
  <cols>
    <col min="1" max="1" width="6.7109375" style="29" customWidth="1"/>
    <col min="2" max="2" width="56.42578125" style="30" customWidth="1"/>
    <col min="3" max="3" width="15" style="31" customWidth="1"/>
    <col min="4" max="4" width="8.42578125" style="31" customWidth="1"/>
    <col min="5" max="5" width="9.5703125" style="31" customWidth="1"/>
    <col min="6" max="6" width="15.140625" style="56" customWidth="1"/>
    <col min="7" max="7" width="15.42578125" style="33" customWidth="1"/>
    <col min="8" max="8" width="16.85546875" style="33" customWidth="1"/>
    <col min="9" max="9" width="12.5703125" style="28" customWidth="1"/>
    <col min="10" max="10" width="9.140625" style="28" customWidth="1"/>
    <col min="11" max="256" width="9.140625" style="28"/>
    <col min="257" max="257" width="6.7109375" style="28" customWidth="1"/>
    <col min="258" max="258" width="56.42578125" style="28" customWidth="1"/>
    <col min="259" max="259" width="15" style="28" customWidth="1"/>
    <col min="260" max="260" width="8.42578125" style="28" customWidth="1"/>
    <col min="261" max="261" width="9.5703125" style="28" customWidth="1"/>
    <col min="262" max="262" width="15.140625" style="28" customWidth="1"/>
    <col min="263" max="263" width="15.42578125" style="28" customWidth="1"/>
    <col min="264" max="264" width="14.85546875" style="28" customWidth="1"/>
    <col min="265" max="265" width="12.5703125" style="28" customWidth="1"/>
    <col min="266" max="266" width="9.140625" style="28" customWidth="1"/>
    <col min="267" max="512" width="9.140625" style="28"/>
    <col min="513" max="513" width="6.7109375" style="28" customWidth="1"/>
    <col min="514" max="514" width="56.42578125" style="28" customWidth="1"/>
    <col min="515" max="515" width="15" style="28" customWidth="1"/>
    <col min="516" max="516" width="8.42578125" style="28" customWidth="1"/>
    <col min="517" max="517" width="9.5703125" style="28" customWidth="1"/>
    <col min="518" max="518" width="15.140625" style="28" customWidth="1"/>
    <col min="519" max="519" width="15.42578125" style="28" customWidth="1"/>
    <col min="520" max="520" width="14.85546875" style="28" customWidth="1"/>
    <col min="521" max="521" width="12.5703125" style="28" customWidth="1"/>
    <col min="522" max="522" width="9.140625" style="28" customWidth="1"/>
    <col min="523" max="768" width="9.140625" style="28"/>
    <col min="769" max="769" width="6.7109375" style="28" customWidth="1"/>
    <col min="770" max="770" width="56.42578125" style="28" customWidth="1"/>
    <col min="771" max="771" width="15" style="28" customWidth="1"/>
    <col min="772" max="772" width="8.42578125" style="28" customWidth="1"/>
    <col min="773" max="773" width="9.5703125" style="28" customWidth="1"/>
    <col min="774" max="774" width="15.140625" style="28" customWidth="1"/>
    <col min="775" max="775" width="15.42578125" style="28" customWidth="1"/>
    <col min="776" max="776" width="14.85546875" style="28" customWidth="1"/>
    <col min="777" max="777" width="12.5703125" style="28" customWidth="1"/>
    <col min="778" max="778" width="9.140625" style="28" customWidth="1"/>
    <col min="779" max="1024" width="9.140625" style="28"/>
    <col min="1025" max="1025" width="6.7109375" style="28" customWidth="1"/>
    <col min="1026" max="1026" width="56.42578125" style="28" customWidth="1"/>
    <col min="1027" max="1027" width="15" style="28" customWidth="1"/>
    <col min="1028" max="1028" width="8.42578125" style="28" customWidth="1"/>
    <col min="1029" max="1029" width="9.5703125" style="28" customWidth="1"/>
    <col min="1030" max="1030" width="15.140625" style="28" customWidth="1"/>
    <col min="1031" max="1031" width="15.42578125" style="28" customWidth="1"/>
    <col min="1032" max="1032" width="14.85546875" style="28" customWidth="1"/>
    <col min="1033" max="1033" width="12.5703125" style="28" customWidth="1"/>
    <col min="1034" max="1034" width="9.140625" style="28" customWidth="1"/>
    <col min="1035" max="1280" width="9.140625" style="28"/>
    <col min="1281" max="1281" width="6.7109375" style="28" customWidth="1"/>
    <col min="1282" max="1282" width="56.42578125" style="28" customWidth="1"/>
    <col min="1283" max="1283" width="15" style="28" customWidth="1"/>
    <col min="1284" max="1284" width="8.42578125" style="28" customWidth="1"/>
    <col min="1285" max="1285" width="9.5703125" style="28" customWidth="1"/>
    <col min="1286" max="1286" width="15.140625" style="28" customWidth="1"/>
    <col min="1287" max="1287" width="15.42578125" style="28" customWidth="1"/>
    <col min="1288" max="1288" width="14.85546875" style="28" customWidth="1"/>
    <col min="1289" max="1289" width="12.5703125" style="28" customWidth="1"/>
    <col min="1290" max="1290" width="9.140625" style="28" customWidth="1"/>
    <col min="1291" max="1536" width="9.140625" style="28"/>
    <col min="1537" max="1537" width="6.7109375" style="28" customWidth="1"/>
    <col min="1538" max="1538" width="56.42578125" style="28" customWidth="1"/>
    <col min="1539" max="1539" width="15" style="28" customWidth="1"/>
    <col min="1540" max="1540" width="8.42578125" style="28" customWidth="1"/>
    <col min="1541" max="1541" width="9.5703125" style="28" customWidth="1"/>
    <col min="1542" max="1542" width="15.140625" style="28" customWidth="1"/>
    <col min="1543" max="1543" width="15.42578125" style="28" customWidth="1"/>
    <col min="1544" max="1544" width="14.85546875" style="28" customWidth="1"/>
    <col min="1545" max="1545" width="12.5703125" style="28" customWidth="1"/>
    <col min="1546" max="1546" width="9.140625" style="28" customWidth="1"/>
    <col min="1547" max="1792" width="9.140625" style="28"/>
    <col min="1793" max="1793" width="6.7109375" style="28" customWidth="1"/>
    <col min="1794" max="1794" width="56.42578125" style="28" customWidth="1"/>
    <col min="1795" max="1795" width="15" style="28" customWidth="1"/>
    <col min="1796" max="1796" width="8.42578125" style="28" customWidth="1"/>
    <col min="1797" max="1797" width="9.5703125" style="28" customWidth="1"/>
    <col min="1798" max="1798" width="15.140625" style="28" customWidth="1"/>
    <col min="1799" max="1799" width="15.42578125" style="28" customWidth="1"/>
    <col min="1800" max="1800" width="14.85546875" style="28" customWidth="1"/>
    <col min="1801" max="1801" width="12.5703125" style="28" customWidth="1"/>
    <col min="1802" max="1802" width="9.140625" style="28" customWidth="1"/>
    <col min="1803" max="2048" width="9.140625" style="28"/>
    <col min="2049" max="2049" width="6.7109375" style="28" customWidth="1"/>
    <col min="2050" max="2050" width="56.42578125" style="28" customWidth="1"/>
    <col min="2051" max="2051" width="15" style="28" customWidth="1"/>
    <col min="2052" max="2052" width="8.42578125" style="28" customWidth="1"/>
    <col min="2053" max="2053" width="9.5703125" style="28" customWidth="1"/>
    <col min="2054" max="2054" width="15.140625" style="28" customWidth="1"/>
    <col min="2055" max="2055" width="15.42578125" style="28" customWidth="1"/>
    <col min="2056" max="2056" width="14.85546875" style="28" customWidth="1"/>
    <col min="2057" max="2057" width="12.5703125" style="28" customWidth="1"/>
    <col min="2058" max="2058" width="9.140625" style="28" customWidth="1"/>
    <col min="2059" max="2304" width="9.140625" style="28"/>
    <col min="2305" max="2305" width="6.7109375" style="28" customWidth="1"/>
    <col min="2306" max="2306" width="56.42578125" style="28" customWidth="1"/>
    <col min="2307" max="2307" width="15" style="28" customWidth="1"/>
    <col min="2308" max="2308" width="8.42578125" style="28" customWidth="1"/>
    <col min="2309" max="2309" width="9.5703125" style="28" customWidth="1"/>
    <col min="2310" max="2310" width="15.140625" style="28" customWidth="1"/>
    <col min="2311" max="2311" width="15.42578125" style="28" customWidth="1"/>
    <col min="2312" max="2312" width="14.85546875" style="28" customWidth="1"/>
    <col min="2313" max="2313" width="12.5703125" style="28" customWidth="1"/>
    <col min="2314" max="2314" width="9.140625" style="28" customWidth="1"/>
    <col min="2315" max="2560" width="9.140625" style="28"/>
    <col min="2561" max="2561" width="6.7109375" style="28" customWidth="1"/>
    <col min="2562" max="2562" width="56.42578125" style="28" customWidth="1"/>
    <col min="2563" max="2563" width="15" style="28" customWidth="1"/>
    <col min="2564" max="2564" width="8.42578125" style="28" customWidth="1"/>
    <col min="2565" max="2565" width="9.5703125" style="28" customWidth="1"/>
    <col min="2566" max="2566" width="15.140625" style="28" customWidth="1"/>
    <col min="2567" max="2567" width="15.42578125" style="28" customWidth="1"/>
    <col min="2568" max="2568" width="14.85546875" style="28" customWidth="1"/>
    <col min="2569" max="2569" width="12.5703125" style="28" customWidth="1"/>
    <col min="2570" max="2570" width="9.140625" style="28" customWidth="1"/>
    <col min="2571" max="2816" width="9.140625" style="28"/>
    <col min="2817" max="2817" width="6.7109375" style="28" customWidth="1"/>
    <col min="2818" max="2818" width="56.42578125" style="28" customWidth="1"/>
    <col min="2819" max="2819" width="15" style="28" customWidth="1"/>
    <col min="2820" max="2820" width="8.42578125" style="28" customWidth="1"/>
    <col min="2821" max="2821" width="9.5703125" style="28" customWidth="1"/>
    <col min="2822" max="2822" width="15.140625" style="28" customWidth="1"/>
    <col min="2823" max="2823" width="15.42578125" style="28" customWidth="1"/>
    <col min="2824" max="2824" width="14.85546875" style="28" customWidth="1"/>
    <col min="2825" max="2825" width="12.5703125" style="28" customWidth="1"/>
    <col min="2826" max="2826" width="9.140625" style="28" customWidth="1"/>
    <col min="2827" max="3072" width="9.140625" style="28"/>
    <col min="3073" max="3073" width="6.7109375" style="28" customWidth="1"/>
    <col min="3074" max="3074" width="56.42578125" style="28" customWidth="1"/>
    <col min="3075" max="3075" width="15" style="28" customWidth="1"/>
    <col min="3076" max="3076" width="8.42578125" style="28" customWidth="1"/>
    <col min="3077" max="3077" width="9.5703125" style="28" customWidth="1"/>
    <col min="3078" max="3078" width="15.140625" style="28" customWidth="1"/>
    <col min="3079" max="3079" width="15.42578125" style="28" customWidth="1"/>
    <col min="3080" max="3080" width="14.85546875" style="28" customWidth="1"/>
    <col min="3081" max="3081" width="12.5703125" style="28" customWidth="1"/>
    <col min="3082" max="3082" width="9.140625" style="28" customWidth="1"/>
    <col min="3083" max="3328" width="9.140625" style="28"/>
    <col min="3329" max="3329" width="6.7109375" style="28" customWidth="1"/>
    <col min="3330" max="3330" width="56.42578125" style="28" customWidth="1"/>
    <col min="3331" max="3331" width="15" style="28" customWidth="1"/>
    <col min="3332" max="3332" width="8.42578125" style="28" customWidth="1"/>
    <col min="3333" max="3333" width="9.5703125" style="28" customWidth="1"/>
    <col min="3334" max="3334" width="15.140625" style="28" customWidth="1"/>
    <col min="3335" max="3335" width="15.42578125" style="28" customWidth="1"/>
    <col min="3336" max="3336" width="14.85546875" style="28" customWidth="1"/>
    <col min="3337" max="3337" width="12.5703125" style="28" customWidth="1"/>
    <col min="3338" max="3338" width="9.140625" style="28" customWidth="1"/>
    <col min="3339" max="3584" width="9.140625" style="28"/>
    <col min="3585" max="3585" width="6.7109375" style="28" customWidth="1"/>
    <col min="3586" max="3586" width="56.42578125" style="28" customWidth="1"/>
    <col min="3587" max="3587" width="15" style="28" customWidth="1"/>
    <col min="3588" max="3588" width="8.42578125" style="28" customWidth="1"/>
    <col min="3589" max="3589" width="9.5703125" style="28" customWidth="1"/>
    <col min="3590" max="3590" width="15.140625" style="28" customWidth="1"/>
    <col min="3591" max="3591" width="15.42578125" style="28" customWidth="1"/>
    <col min="3592" max="3592" width="14.85546875" style="28" customWidth="1"/>
    <col min="3593" max="3593" width="12.5703125" style="28" customWidth="1"/>
    <col min="3594" max="3594" width="9.140625" style="28" customWidth="1"/>
    <col min="3595" max="3840" width="9.140625" style="28"/>
    <col min="3841" max="3841" width="6.7109375" style="28" customWidth="1"/>
    <col min="3842" max="3842" width="56.42578125" style="28" customWidth="1"/>
    <col min="3843" max="3843" width="15" style="28" customWidth="1"/>
    <col min="3844" max="3844" width="8.42578125" style="28" customWidth="1"/>
    <col min="3845" max="3845" width="9.5703125" style="28" customWidth="1"/>
    <col min="3846" max="3846" width="15.140625" style="28" customWidth="1"/>
    <col min="3847" max="3847" width="15.42578125" style="28" customWidth="1"/>
    <col min="3848" max="3848" width="14.85546875" style="28" customWidth="1"/>
    <col min="3849" max="3849" width="12.5703125" style="28" customWidth="1"/>
    <col min="3850" max="3850" width="9.140625" style="28" customWidth="1"/>
    <col min="3851" max="4096" width="9.140625" style="28"/>
    <col min="4097" max="4097" width="6.7109375" style="28" customWidth="1"/>
    <col min="4098" max="4098" width="56.42578125" style="28" customWidth="1"/>
    <col min="4099" max="4099" width="15" style="28" customWidth="1"/>
    <col min="4100" max="4100" width="8.42578125" style="28" customWidth="1"/>
    <col min="4101" max="4101" width="9.5703125" style="28" customWidth="1"/>
    <col min="4102" max="4102" width="15.140625" style="28" customWidth="1"/>
    <col min="4103" max="4103" width="15.42578125" style="28" customWidth="1"/>
    <col min="4104" max="4104" width="14.85546875" style="28" customWidth="1"/>
    <col min="4105" max="4105" width="12.5703125" style="28" customWidth="1"/>
    <col min="4106" max="4106" width="9.140625" style="28" customWidth="1"/>
    <col min="4107" max="4352" width="9.140625" style="28"/>
    <col min="4353" max="4353" width="6.7109375" style="28" customWidth="1"/>
    <col min="4354" max="4354" width="56.42578125" style="28" customWidth="1"/>
    <col min="4355" max="4355" width="15" style="28" customWidth="1"/>
    <col min="4356" max="4356" width="8.42578125" style="28" customWidth="1"/>
    <col min="4357" max="4357" width="9.5703125" style="28" customWidth="1"/>
    <col min="4358" max="4358" width="15.140625" style="28" customWidth="1"/>
    <col min="4359" max="4359" width="15.42578125" style="28" customWidth="1"/>
    <col min="4360" max="4360" width="14.85546875" style="28" customWidth="1"/>
    <col min="4361" max="4361" width="12.5703125" style="28" customWidth="1"/>
    <col min="4362" max="4362" width="9.140625" style="28" customWidth="1"/>
    <col min="4363" max="4608" width="9.140625" style="28"/>
    <col min="4609" max="4609" width="6.7109375" style="28" customWidth="1"/>
    <col min="4610" max="4610" width="56.42578125" style="28" customWidth="1"/>
    <col min="4611" max="4611" width="15" style="28" customWidth="1"/>
    <col min="4612" max="4612" width="8.42578125" style="28" customWidth="1"/>
    <col min="4613" max="4613" width="9.5703125" style="28" customWidth="1"/>
    <col min="4614" max="4614" width="15.140625" style="28" customWidth="1"/>
    <col min="4615" max="4615" width="15.42578125" style="28" customWidth="1"/>
    <col min="4616" max="4616" width="14.85546875" style="28" customWidth="1"/>
    <col min="4617" max="4617" width="12.5703125" style="28" customWidth="1"/>
    <col min="4618" max="4618" width="9.140625" style="28" customWidth="1"/>
    <col min="4619" max="4864" width="9.140625" style="28"/>
    <col min="4865" max="4865" width="6.7109375" style="28" customWidth="1"/>
    <col min="4866" max="4866" width="56.42578125" style="28" customWidth="1"/>
    <col min="4867" max="4867" width="15" style="28" customWidth="1"/>
    <col min="4868" max="4868" width="8.42578125" style="28" customWidth="1"/>
    <col min="4869" max="4869" width="9.5703125" style="28" customWidth="1"/>
    <col min="4870" max="4870" width="15.140625" style="28" customWidth="1"/>
    <col min="4871" max="4871" width="15.42578125" style="28" customWidth="1"/>
    <col min="4872" max="4872" width="14.85546875" style="28" customWidth="1"/>
    <col min="4873" max="4873" width="12.5703125" style="28" customWidth="1"/>
    <col min="4874" max="4874" width="9.140625" style="28" customWidth="1"/>
    <col min="4875" max="5120" width="9.140625" style="28"/>
    <col min="5121" max="5121" width="6.7109375" style="28" customWidth="1"/>
    <col min="5122" max="5122" width="56.42578125" style="28" customWidth="1"/>
    <col min="5123" max="5123" width="15" style="28" customWidth="1"/>
    <col min="5124" max="5124" width="8.42578125" style="28" customWidth="1"/>
    <col min="5125" max="5125" width="9.5703125" style="28" customWidth="1"/>
    <col min="5126" max="5126" width="15.140625" style="28" customWidth="1"/>
    <col min="5127" max="5127" width="15.42578125" style="28" customWidth="1"/>
    <col min="5128" max="5128" width="14.85546875" style="28" customWidth="1"/>
    <col min="5129" max="5129" width="12.5703125" style="28" customWidth="1"/>
    <col min="5130" max="5130" width="9.140625" style="28" customWidth="1"/>
    <col min="5131" max="5376" width="9.140625" style="28"/>
    <col min="5377" max="5377" width="6.7109375" style="28" customWidth="1"/>
    <col min="5378" max="5378" width="56.42578125" style="28" customWidth="1"/>
    <col min="5379" max="5379" width="15" style="28" customWidth="1"/>
    <col min="5380" max="5380" width="8.42578125" style="28" customWidth="1"/>
    <col min="5381" max="5381" width="9.5703125" style="28" customWidth="1"/>
    <col min="5382" max="5382" width="15.140625" style="28" customWidth="1"/>
    <col min="5383" max="5383" width="15.42578125" style="28" customWidth="1"/>
    <col min="5384" max="5384" width="14.85546875" style="28" customWidth="1"/>
    <col min="5385" max="5385" width="12.5703125" style="28" customWidth="1"/>
    <col min="5386" max="5386" width="9.140625" style="28" customWidth="1"/>
    <col min="5387" max="5632" width="9.140625" style="28"/>
    <col min="5633" max="5633" width="6.7109375" style="28" customWidth="1"/>
    <col min="5634" max="5634" width="56.42578125" style="28" customWidth="1"/>
    <col min="5635" max="5635" width="15" style="28" customWidth="1"/>
    <col min="5636" max="5636" width="8.42578125" style="28" customWidth="1"/>
    <col min="5637" max="5637" width="9.5703125" style="28" customWidth="1"/>
    <col min="5638" max="5638" width="15.140625" style="28" customWidth="1"/>
    <col min="5639" max="5639" width="15.42578125" style="28" customWidth="1"/>
    <col min="5640" max="5640" width="14.85546875" style="28" customWidth="1"/>
    <col min="5641" max="5641" width="12.5703125" style="28" customWidth="1"/>
    <col min="5642" max="5642" width="9.140625" style="28" customWidth="1"/>
    <col min="5643" max="5888" width="9.140625" style="28"/>
    <col min="5889" max="5889" width="6.7109375" style="28" customWidth="1"/>
    <col min="5890" max="5890" width="56.42578125" style="28" customWidth="1"/>
    <col min="5891" max="5891" width="15" style="28" customWidth="1"/>
    <col min="5892" max="5892" width="8.42578125" style="28" customWidth="1"/>
    <col min="5893" max="5893" width="9.5703125" style="28" customWidth="1"/>
    <col min="5894" max="5894" width="15.140625" style="28" customWidth="1"/>
    <col min="5895" max="5895" width="15.42578125" style="28" customWidth="1"/>
    <col min="5896" max="5896" width="14.85546875" style="28" customWidth="1"/>
    <col min="5897" max="5897" width="12.5703125" style="28" customWidth="1"/>
    <col min="5898" max="5898" width="9.140625" style="28" customWidth="1"/>
    <col min="5899" max="6144" width="9.140625" style="28"/>
    <col min="6145" max="6145" width="6.7109375" style="28" customWidth="1"/>
    <col min="6146" max="6146" width="56.42578125" style="28" customWidth="1"/>
    <col min="6147" max="6147" width="15" style="28" customWidth="1"/>
    <col min="6148" max="6148" width="8.42578125" style="28" customWidth="1"/>
    <col min="6149" max="6149" width="9.5703125" style="28" customWidth="1"/>
    <col min="6150" max="6150" width="15.140625" style="28" customWidth="1"/>
    <col min="6151" max="6151" width="15.42578125" style="28" customWidth="1"/>
    <col min="6152" max="6152" width="14.85546875" style="28" customWidth="1"/>
    <col min="6153" max="6153" width="12.5703125" style="28" customWidth="1"/>
    <col min="6154" max="6154" width="9.140625" style="28" customWidth="1"/>
    <col min="6155" max="6400" width="9.140625" style="28"/>
    <col min="6401" max="6401" width="6.7109375" style="28" customWidth="1"/>
    <col min="6402" max="6402" width="56.42578125" style="28" customWidth="1"/>
    <col min="6403" max="6403" width="15" style="28" customWidth="1"/>
    <col min="6404" max="6404" width="8.42578125" style="28" customWidth="1"/>
    <col min="6405" max="6405" width="9.5703125" style="28" customWidth="1"/>
    <col min="6406" max="6406" width="15.140625" style="28" customWidth="1"/>
    <col min="6407" max="6407" width="15.42578125" style="28" customWidth="1"/>
    <col min="6408" max="6408" width="14.85546875" style="28" customWidth="1"/>
    <col min="6409" max="6409" width="12.5703125" style="28" customWidth="1"/>
    <col min="6410" max="6410" width="9.140625" style="28" customWidth="1"/>
    <col min="6411" max="6656" width="9.140625" style="28"/>
    <col min="6657" max="6657" width="6.7109375" style="28" customWidth="1"/>
    <col min="6658" max="6658" width="56.42578125" style="28" customWidth="1"/>
    <col min="6659" max="6659" width="15" style="28" customWidth="1"/>
    <col min="6660" max="6660" width="8.42578125" style="28" customWidth="1"/>
    <col min="6661" max="6661" width="9.5703125" style="28" customWidth="1"/>
    <col min="6662" max="6662" width="15.140625" style="28" customWidth="1"/>
    <col min="6663" max="6663" width="15.42578125" style="28" customWidth="1"/>
    <col min="6664" max="6664" width="14.85546875" style="28" customWidth="1"/>
    <col min="6665" max="6665" width="12.5703125" style="28" customWidth="1"/>
    <col min="6666" max="6666" width="9.140625" style="28" customWidth="1"/>
    <col min="6667" max="6912" width="9.140625" style="28"/>
    <col min="6913" max="6913" width="6.7109375" style="28" customWidth="1"/>
    <col min="6914" max="6914" width="56.42578125" style="28" customWidth="1"/>
    <col min="6915" max="6915" width="15" style="28" customWidth="1"/>
    <col min="6916" max="6916" width="8.42578125" style="28" customWidth="1"/>
    <col min="6917" max="6917" width="9.5703125" style="28" customWidth="1"/>
    <col min="6918" max="6918" width="15.140625" style="28" customWidth="1"/>
    <col min="6919" max="6919" width="15.42578125" style="28" customWidth="1"/>
    <col min="6920" max="6920" width="14.85546875" style="28" customWidth="1"/>
    <col min="6921" max="6921" width="12.5703125" style="28" customWidth="1"/>
    <col min="6922" max="6922" width="9.140625" style="28" customWidth="1"/>
    <col min="6923" max="7168" width="9.140625" style="28"/>
    <col min="7169" max="7169" width="6.7109375" style="28" customWidth="1"/>
    <col min="7170" max="7170" width="56.42578125" style="28" customWidth="1"/>
    <col min="7171" max="7171" width="15" style="28" customWidth="1"/>
    <col min="7172" max="7172" width="8.42578125" style="28" customWidth="1"/>
    <col min="7173" max="7173" width="9.5703125" style="28" customWidth="1"/>
    <col min="7174" max="7174" width="15.140625" style="28" customWidth="1"/>
    <col min="7175" max="7175" width="15.42578125" style="28" customWidth="1"/>
    <col min="7176" max="7176" width="14.85546875" style="28" customWidth="1"/>
    <col min="7177" max="7177" width="12.5703125" style="28" customWidth="1"/>
    <col min="7178" max="7178" width="9.140625" style="28" customWidth="1"/>
    <col min="7179" max="7424" width="9.140625" style="28"/>
    <col min="7425" max="7425" width="6.7109375" style="28" customWidth="1"/>
    <col min="7426" max="7426" width="56.42578125" style="28" customWidth="1"/>
    <col min="7427" max="7427" width="15" style="28" customWidth="1"/>
    <col min="7428" max="7428" width="8.42578125" style="28" customWidth="1"/>
    <col min="7429" max="7429" width="9.5703125" style="28" customWidth="1"/>
    <col min="7430" max="7430" width="15.140625" style="28" customWidth="1"/>
    <col min="7431" max="7431" width="15.42578125" style="28" customWidth="1"/>
    <col min="7432" max="7432" width="14.85546875" style="28" customWidth="1"/>
    <col min="7433" max="7433" width="12.5703125" style="28" customWidth="1"/>
    <col min="7434" max="7434" width="9.140625" style="28" customWidth="1"/>
    <col min="7435" max="7680" width="9.140625" style="28"/>
    <col min="7681" max="7681" width="6.7109375" style="28" customWidth="1"/>
    <col min="7682" max="7682" width="56.42578125" style="28" customWidth="1"/>
    <col min="7683" max="7683" width="15" style="28" customWidth="1"/>
    <col min="7684" max="7684" width="8.42578125" style="28" customWidth="1"/>
    <col min="7685" max="7685" width="9.5703125" style="28" customWidth="1"/>
    <col min="7686" max="7686" width="15.140625" style="28" customWidth="1"/>
    <col min="7687" max="7687" width="15.42578125" style="28" customWidth="1"/>
    <col min="7688" max="7688" width="14.85546875" style="28" customWidth="1"/>
    <col min="7689" max="7689" width="12.5703125" style="28" customWidth="1"/>
    <col min="7690" max="7690" width="9.140625" style="28" customWidth="1"/>
    <col min="7691" max="7936" width="9.140625" style="28"/>
    <col min="7937" max="7937" width="6.7109375" style="28" customWidth="1"/>
    <col min="7938" max="7938" width="56.42578125" style="28" customWidth="1"/>
    <col min="7939" max="7939" width="15" style="28" customWidth="1"/>
    <col min="7940" max="7940" width="8.42578125" style="28" customWidth="1"/>
    <col min="7941" max="7941" width="9.5703125" style="28" customWidth="1"/>
    <col min="7942" max="7942" width="15.140625" style="28" customWidth="1"/>
    <col min="7943" max="7943" width="15.42578125" style="28" customWidth="1"/>
    <col min="7944" max="7944" width="14.85546875" style="28" customWidth="1"/>
    <col min="7945" max="7945" width="12.5703125" style="28" customWidth="1"/>
    <col min="7946" max="7946" width="9.140625" style="28" customWidth="1"/>
    <col min="7947" max="8192" width="9.140625" style="28"/>
    <col min="8193" max="8193" width="6.7109375" style="28" customWidth="1"/>
    <col min="8194" max="8194" width="56.42578125" style="28" customWidth="1"/>
    <col min="8195" max="8195" width="15" style="28" customWidth="1"/>
    <col min="8196" max="8196" width="8.42578125" style="28" customWidth="1"/>
    <col min="8197" max="8197" width="9.5703125" style="28" customWidth="1"/>
    <col min="8198" max="8198" width="15.140625" style="28" customWidth="1"/>
    <col min="8199" max="8199" width="15.42578125" style="28" customWidth="1"/>
    <col min="8200" max="8200" width="14.85546875" style="28" customWidth="1"/>
    <col min="8201" max="8201" width="12.5703125" style="28" customWidth="1"/>
    <col min="8202" max="8202" width="9.140625" style="28" customWidth="1"/>
    <col min="8203" max="8448" width="9.140625" style="28"/>
    <col min="8449" max="8449" width="6.7109375" style="28" customWidth="1"/>
    <col min="8450" max="8450" width="56.42578125" style="28" customWidth="1"/>
    <col min="8451" max="8451" width="15" style="28" customWidth="1"/>
    <col min="8452" max="8452" width="8.42578125" style="28" customWidth="1"/>
    <col min="8453" max="8453" width="9.5703125" style="28" customWidth="1"/>
    <col min="8454" max="8454" width="15.140625" style="28" customWidth="1"/>
    <col min="8455" max="8455" width="15.42578125" style="28" customWidth="1"/>
    <col min="8456" max="8456" width="14.85546875" style="28" customWidth="1"/>
    <col min="8457" max="8457" width="12.5703125" style="28" customWidth="1"/>
    <col min="8458" max="8458" width="9.140625" style="28" customWidth="1"/>
    <col min="8459" max="8704" width="9.140625" style="28"/>
    <col min="8705" max="8705" width="6.7109375" style="28" customWidth="1"/>
    <col min="8706" max="8706" width="56.42578125" style="28" customWidth="1"/>
    <col min="8707" max="8707" width="15" style="28" customWidth="1"/>
    <col min="8708" max="8708" width="8.42578125" style="28" customWidth="1"/>
    <col min="8709" max="8709" width="9.5703125" style="28" customWidth="1"/>
    <col min="8710" max="8710" width="15.140625" style="28" customWidth="1"/>
    <col min="8711" max="8711" width="15.42578125" style="28" customWidth="1"/>
    <col min="8712" max="8712" width="14.85546875" style="28" customWidth="1"/>
    <col min="8713" max="8713" width="12.5703125" style="28" customWidth="1"/>
    <col min="8714" max="8714" width="9.140625" style="28" customWidth="1"/>
    <col min="8715" max="8960" width="9.140625" style="28"/>
    <col min="8961" max="8961" width="6.7109375" style="28" customWidth="1"/>
    <col min="8962" max="8962" width="56.42578125" style="28" customWidth="1"/>
    <col min="8963" max="8963" width="15" style="28" customWidth="1"/>
    <col min="8964" max="8964" width="8.42578125" style="28" customWidth="1"/>
    <col min="8965" max="8965" width="9.5703125" style="28" customWidth="1"/>
    <col min="8966" max="8966" width="15.140625" style="28" customWidth="1"/>
    <col min="8967" max="8967" width="15.42578125" style="28" customWidth="1"/>
    <col min="8968" max="8968" width="14.85546875" style="28" customWidth="1"/>
    <col min="8969" max="8969" width="12.5703125" style="28" customWidth="1"/>
    <col min="8970" max="8970" width="9.140625" style="28" customWidth="1"/>
    <col min="8971" max="9216" width="9.140625" style="28"/>
    <col min="9217" max="9217" width="6.7109375" style="28" customWidth="1"/>
    <col min="9218" max="9218" width="56.42578125" style="28" customWidth="1"/>
    <col min="9219" max="9219" width="15" style="28" customWidth="1"/>
    <col min="9220" max="9220" width="8.42578125" style="28" customWidth="1"/>
    <col min="9221" max="9221" width="9.5703125" style="28" customWidth="1"/>
    <col min="9222" max="9222" width="15.140625" style="28" customWidth="1"/>
    <col min="9223" max="9223" width="15.42578125" style="28" customWidth="1"/>
    <col min="9224" max="9224" width="14.85546875" style="28" customWidth="1"/>
    <col min="9225" max="9225" width="12.5703125" style="28" customWidth="1"/>
    <col min="9226" max="9226" width="9.140625" style="28" customWidth="1"/>
    <col min="9227" max="9472" width="9.140625" style="28"/>
    <col min="9473" max="9473" width="6.7109375" style="28" customWidth="1"/>
    <col min="9474" max="9474" width="56.42578125" style="28" customWidth="1"/>
    <col min="9475" max="9475" width="15" style="28" customWidth="1"/>
    <col min="9476" max="9476" width="8.42578125" style="28" customWidth="1"/>
    <col min="9477" max="9477" width="9.5703125" style="28" customWidth="1"/>
    <col min="9478" max="9478" width="15.140625" style="28" customWidth="1"/>
    <col min="9479" max="9479" width="15.42578125" style="28" customWidth="1"/>
    <col min="9480" max="9480" width="14.85546875" style="28" customWidth="1"/>
    <col min="9481" max="9481" width="12.5703125" style="28" customWidth="1"/>
    <col min="9482" max="9482" width="9.140625" style="28" customWidth="1"/>
    <col min="9483" max="9728" width="9.140625" style="28"/>
    <col min="9729" max="9729" width="6.7109375" style="28" customWidth="1"/>
    <col min="9730" max="9730" width="56.42578125" style="28" customWidth="1"/>
    <col min="9731" max="9731" width="15" style="28" customWidth="1"/>
    <col min="9732" max="9732" width="8.42578125" style="28" customWidth="1"/>
    <col min="9733" max="9733" width="9.5703125" style="28" customWidth="1"/>
    <col min="9734" max="9734" width="15.140625" style="28" customWidth="1"/>
    <col min="9735" max="9735" width="15.42578125" style="28" customWidth="1"/>
    <col min="9736" max="9736" width="14.85546875" style="28" customWidth="1"/>
    <col min="9737" max="9737" width="12.5703125" style="28" customWidth="1"/>
    <col min="9738" max="9738" width="9.140625" style="28" customWidth="1"/>
    <col min="9739" max="9984" width="9.140625" style="28"/>
    <col min="9985" max="9985" width="6.7109375" style="28" customWidth="1"/>
    <col min="9986" max="9986" width="56.42578125" style="28" customWidth="1"/>
    <col min="9987" max="9987" width="15" style="28" customWidth="1"/>
    <col min="9988" max="9988" width="8.42578125" style="28" customWidth="1"/>
    <col min="9989" max="9989" width="9.5703125" style="28" customWidth="1"/>
    <col min="9990" max="9990" width="15.140625" style="28" customWidth="1"/>
    <col min="9991" max="9991" width="15.42578125" style="28" customWidth="1"/>
    <col min="9992" max="9992" width="14.85546875" style="28" customWidth="1"/>
    <col min="9993" max="9993" width="12.5703125" style="28" customWidth="1"/>
    <col min="9994" max="9994" width="9.140625" style="28" customWidth="1"/>
    <col min="9995" max="10240" width="9.140625" style="28"/>
    <col min="10241" max="10241" width="6.7109375" style="28" customWidth="1"/>
    <col min="10242" max="10242" width="56.42578125" style="28" customWidth="1"/>
    <col min="10243" max="10243" width="15" style="28" customWidth="1"/>
    <col min="10244" max="10244" width="8.42578125" style="28" customWidth="1"/>
    <col min="10245" max="10245" width="9.5703125" style="28" customWidth="1"/>
    <col min="10246" max="10246" width="15.140625" style="28" customWidth="1"/>
    <col min="10247" max="10247" width="15.42578125" style="28" customWidth="1"/>
    <col min="10248" max="10248" width="14.85546875" style="28" customWidth="1"/>
    <col min="10249" max="10249" width="12.5703125" style="28" customWidth="1"/>
    <col min="10250" max="10250" width="9.140625" style="28" customWidth="1"/>
    <col min="10251" max="10496" width="9.140625" style="28"/>
    <col min="10497" max="10497" width="6.7109375" style="28" customWidth="1"/>
    <col min="10498" max="10498" width="56.42578125" style="28" customWidth="1"/>
    <col min="10499" max="10499" width="15" style="28" customWidth="1"/>
    <col min="10500" max="10500" width="8.42578125" style="28" customWidth="1"/>
    <col min="10501" max="10501" width="9.5703125" style="28" customWidth="1"/>
    <col min="10502" max="10502" width="15.140625" style="28" customWidth="1"/>
    <col min="10503" max="10503" width="15.42578125" style="28" customWidth="1"/>
    <col min="10504" max="10504" width="14.85546875" style="28" customWidth="1"/>
    <col min="10505" max="10505" width="12.5703125" style="28" customWidth="1"/>
    <col min="10506" max="10506" width="9.140625" style="28" customWidth="1"/>
    <col min="10507" max="10752" width="9.140625" style="28"/>
    <col min="10753" max="10753" width="6.7109375" style="28" customWidth="1"/>
    <col min="10754" max="10754" width="56.42578125" style="28" customWidth="1"/>
    <col min="10755" max="10755" width="15" style="28" customWidth="1"/>
    <col min="10756" max="10756" width="8.42578125" style="28" customWidth="1"/>
    <col min="10757" max="10757" width="9.5703125" style="28" customWidth="1"/>
    <col min="10758" max="10758" width="15.140625" style="28" customWidth="1"/>
    <col min="10759" max="10759" width="15.42578125" style="28" customWidth="1"/>
    <col min="10760" max="10760" width="14.85546875" style="28" customWidth="1"/>
    <col min="10761" max="10761" width="12.5703125" style="28" customWidth="1"/>
    <col min="10762" max="10762" width="9.140625" style="28" customWidth="1"/>
    <col min="10763" max="11008" width="9.140625" style="28"/>
    <col min="11009" max="11009" width="6.7109375" style="28" customWidth="1"/>
    <col min="11010" max="11010" width="56.42578125" style="28" customWidth="1"/>
    <col min="11011" max="11011" width="15" style="28" customWidth="1"/>
    <col min="11012" max="11012" width="8.42578125" style="28" customWidth="1"/>
    <col min="11013" max="11013" width="9.5703125" style="28" customWidth="1"/>
    <col min="11014" max="11014" width="15.140625" style="28" customWidth="1"/>
    <col min="11015" max="11015" width="15.42578125" style="28" customWidth="1"/>
    <col min="11016" max="11016" width="14.85546875" style="28" customWidth="1"/>
    <col min="11017" max="11017" width="12.5703125" style="28" customWidth="1"/>
    <col min="11018" max="11018" width="9.140625" style="28" customWidth="1"/>
    <col min="11019" max="11264" width="9.140625" style="28"/>
    <col min="11265" max="11265" width="6.7109375" style="28" customWidth="1"/>
    <col min="11266" max="11266" width="56.42578125" style="28" customWidth="1"/>
    <col min="11267" max="11267" width="15" style="28" customWidth="1"/>
    <col min="11268" max="11268" width="8.42578125" style="28" customWidth="1"/>
    <col min="11269" max="11269" width="9.5703125" style="28" customWidth="1"/>
    <col min="11270" max="11270" width="15.140625" style="28" customWidth="1"/>
    <col min="11271" max="11271" width="15.42578125" style="28" customWidth="1"/>
    <col min="11272" max="11272" width="14.85546875" style="28" customWidth="1"/>
    <col min="11273" max="11273" width="12.5703125" style="28" customWidth="1"/>
    <col min="11274" max="11274" width="9.140625" style="28" customWidth="1"/>
    <col min="11275" max="11520" width="9.140625" style="28"/>
    <col min="11521" max="11521" width="6.7109375" style="28" customWidth="1"/>
    <col min="11522" max="11522" width="56.42578125" style="28" customWidth="1"/>
    <col min="11523" max="11523" width="15" style="28" customWidth="1"/>
    <col min="11524" max="11524" width="8.42578125" style="28" customWidth="1"/>
    <col min="11525" max="11525" width="9.5703125" style="28" customWidth="1"/>
    <col min="11526" max="11526" width="15.140625" style="28" customWidth="1"/>
    <col min="11527" max="11527" width="15.42578125" style="28" customWidth="1"/>
    <col min="11528" max="11528" width="14.85546875" style="28" customWidth="1"/>
    <col min="11529" max="11529" width="12.5703125" style="28" customWidth="1"/>
    <col min="11530" max="11530" width="9.140625" style="28" customWidth="1"/>
    <col min="11531" max="11776" width="9.140625" style="28"/>
    <col min="11777" max="11777" width="6.7109375" style="28" customWidth="1"/>
    <col min="11778" max="11778" width="56.42578125" style="28" customWidth="1"/>
    <col min="11779" max="11779" width="15" style="28" customWidth="1"/>
    <col min="11780" max="11780" width="8.42578125" style="28" customWidth="1"/>
    <col min="11781" max="11781" width="9.5703125" style="28" customWidth="1"/>
    <col min="11782" max="11782" width="15.140625" style="28" customWidth="1"/>
    <col min="11783" max="11783" width="15.42578125" style="28" customWidth="1"/>
    <col min="11784" max="11784" width="14.85546875" style="28" customWidth="1"/>
    <col min="11785" max="11785" width="12.5703125" style="28" customWidth="1"/>
    <col min="11786" max="11786" width="9.140625" style="28" customWidth="1"/>
    <col min="11787" max="12032" width="9.140625" style="28"/>
    <col min="12033" max="12033" width="6.7109375" style="28" customWidth="1"/>
    <col min="12034" max="12034" width="56.42578125" style="28" customWidth="1"/>
    <col min="12035" max="12035" width="15" style="28" customWidth="1"/>
    <col min="12036" max="12036" width="8.42578125" style="28" customWidth="1"/>
    <col min="12037" max="12037" width="9.5703125" style="28" customWidth="1"/>
    <col min="12038" max="12038" width="15.140625" style="28" customWidth="1"/>
    <col min="12039" max="12039" width="15.42578125" style="28" customWidth="1"/>
    <col min="12040" max="12040" width="14.85546875" style="28" customWidth="1"/>
    <col min="12041" max="12041" width="12.5703125" style="28" customWidth="1"/>
    <col min="12042" max="12042" width="9.140625" style="28" customWidth="1"/>
    <col min="12043" max="12288" width="9.140625" style="28"/>
    <col min="12289" max="12289" width="6.7109375" style="28" customWidth="1"/>
    <col min="12290" max="12290" width="56.42578125" style="28" customWidth="1"/>
    <col min="12291" max="12291" width="15" style="28" customWidth="1"/>
    <col min="12292" max="12292" width="8.42578125" style="28" customWidth="1"/>
    <col min="12293" max="12293" width="9.5703125" style="28" customWidth="1"/>
    <col min="12294" max="12294" width="15.140625" style="28" customWidth="1"/>
    <col min="12295" max="12295" width="15.42578125" style="28" customWidth="1"/>
    <col min="12296" max="12296" width="14.85546875" style="28" customWidth="1"/>
    <col min="12297" max="12297" width="12.5703125" style="28" customWidth="1"/>
    <col min="12298" max="12298" width="9.140625" style="28" customWidth="1"/>
    <col min="12299" max="12544" width="9.140625" style="28"/>
    <col min="12545" max="12545" width="6.7109375" style="28" customWidth="1"/>
    <col min="12546" max="12546" width="56.42578125" style="28" customWidth="1"/>
    <col min="12547" max="12547" width="15" style="28" customWidth="1"/>
    <col min="12548" max="12548" width="8.42578125" style="28" customWidth="1"/>
    <col min="12549" max="12549" width="9.5703125" style="28" customWidth="1"/>
    <col min="12550" max="12550" width="15.140625" style="28" customWidth="1"/>
    <col min="12551" max="12551" width="15.42578125" style="28" customWidth="1"/>
    <col min="12552" max="12552" width="14.85546875" style="28" customWidth="1"/>
    <col min="12553" max="12553" width="12.5703125" style="28" customWidth="1"/>
    <col min="12554" max="12554" width="9.140625" style="28" customWidth="1"/>
    <col min="12555" max="12800" width="9.140625" style="28"/>
    <col min="12801" max="12801" width="6.7109375" style="28" customWidth="1"/>
    <col min="12802" max="12802" width="56.42578125" style="28" customWidth="1"/>
    <col min="12803" max="12803" width="15" style="28" customWidth="1"/>
    <col min="12804" max="12804" width="8.42578125" style="28" customWidth="1"/>
    <col min="12805" max="12805" width="9.5703125" style="28" customWidth="1"/>
    <col min="12806" max="12806" width="15.140625" style="28" customWidth="1"/>
    <col min="12807" max="12807" width="15.42578125" style="28" customWidth="1"/>
    <col min="12808" max="12808" width="14.85546875" style="28" customWidth="1"/>
    <col min="12809" max="12809" width="12.5703125" style="28" customWidth="1"/>
    <col min="12810" max="12810" width="9.140625" style="28" customWidth="1"/>
    <col min="12811" max="13056" width="9.140625" style="28"/>
    <col min="13057" max="13057" width="6.7109375" style="28" customWidth="1"/>
    <col min="13058" max="13058" width="56.42578125" style="28" customWidth="1"/>
    <col min="13059" max="13059" width="15" style="28" customWidth="1"/>
    <col min="13060" max="13060" width="8.42578125" style="28" customWidth="1"/>
    <col min="13061" max="13061" width="9.5703125" style="28" customWidth="1"/>
    <col min="13062" max="13062" width="15.140625" style="28" customWidth="1"/>
    <col min="13063" max="13063" width="15.42578125" style="28" customWidth="1"/>
    <col min="13064" max="13064" width="14.85546875" style="28" customWidth="1"/>
    <col min="13065" max="13065" width="12.5703125" style="28" customWidth="1"/>
    <col min="13066" max="13066" width="9.140625" style="28" customWidth="1"/>
    <col min="13067" max="13312" width="9.140625" style="28"/>
    <col min="13313" max="13313" width="6.7109375" style="28" customWidth="1"/>
    <col min="13314" max="13314" width="56.42578125" style="28" customWidth="1"/>
    <col min="13315" max="13315" width="15" style="28" customWidth="1"/>
    <col min="13316" max="13316" width="8.42578125" style="28" customWidth="1"/>
    <col min="13317" max="13317" width="9.5703125" style="28" customWidth="1"/>
    <col min="13318" max="13318" width="15.140625" style="28" customWidth="1"/>
    <col min="13319" max="13319" width="15.42578125" style="28" customWidth="1"/>
    <col min="13320" max="13320" width="14.85546875" style="28" customWidth="1"/>
    <col min="13321" max="13321" width="12.5703125" style="28" customWidth="1"/>
    <col min="13322" max="13322" width="9.140625" style="28" customWidth="1"/>
    <col min="13323" max="13568" width="9.140625" style="28"/>
    <col min="13569" max="13569" width="6.7109375" style="28" customWidth="1"/>
    <col min="13570" max="13570" width="56.42578125" style="28" customWidth="1"/>
    <col min="13571" max="13571" width="15" style="28" customWidth="1"/>
    <col min="13572" max="13572" width="8.42578125" style="28" customWidth="1"/>
    <col min="13573" max="13573" width="9.5703125" style="28" customWidth="1"/>
    <col min="13574" max="13574" width="15.140625" style="28" customWidth="1"/>
    <col min="13575" max="13575" width="15.42578125" style="28" customWidth="1"/>
    <col min="13576" max="13576" width="14.85546875" style="28" customWidth="1"/>
    <col min="13577" max="13577" width="12.5703125" style="28" customWidth="1"/>
    <col min="13578" max="13578" width="9.140625" style="28" customWidth="1"/>
    <col min="13579" max="13824" width="9.140625" style="28"/>
    <col min="13825" max="13825" width="6.7109375" style="28" customWidth="1"/>
    <col min="13826" max="13826" width="56.42578125" style="28" customWidth="1"/>
    <col min="13827" max="13827" width="15" style="28" customWidth="1"/>
    <col min="13828" max="13828" width="8.42578125" style="28" customWidth="1"/>
    <col min="13829" max="13829" width="9.5703125" style="28" customWidth="1"/>
    <col min="13830" max="13830" width="15.140625" style="28" customWidth="1"/>
    <col min="13831" max="13831" width="15.42578125" style="28" customWidth="1"/>
    <col min="13832" max="13832" width="14.85546875" style="28" customWidth="1"/>
    <col min="13833" max="13833" width="12.5703125" style="28" customWidth="1"/>
    <col min="13834" max="13834" width="9.140625" style="28" customWidth="1"/>
    <col min="13835" max="14080" width="9.140625" style="28"/>
    <col min="14081" max="14081" width="6.7109375" style="28" customWidth="1"/>
    <col min="14082" max="14082" width="56.42578125" style="28" customWidth="1"/>
    <col min="14083" max="14083" width="15" style="28" customWidth="1"/>
    <col min="14084" max="14084" width="8.42578125" style="28" customWidth="1"/>
    <col min="14085" max="14085" width="9.5703125" style="28" customWidth="1"/>
    <col min="14086" max="14086" width="15.140625" style="28" customWidth="1"/>
    <col min="14087" max="14087" width="15.42578125" style="28" customWidth="1"/>
    <col min="14088" max="14088" width="14.85546875" style="28" customWidth="1"/>
    <col min="14089" max="14089" width="12.5703125" style="28" customWidth="1"/>
    <col min="14090" max="14090" width="9.140625" style="28" customWidth="1"/>
    <col min="14091" max="14336" width="9.140625" style="28"/>
    <col min="14337" max="14337" width="6.7109375" style="28" customWidth="1"/>
    <col min="14338" max="14338" width="56.42578125" style="28" customWidth="1"/>
    <col min="14339" max="14339" width="15" style="28" customWidth="1"/>
    <col min="14340" max="14340" width="8.42578125" style="28" customWidth="1"/>
    <col min="14341" max="14341" width="9.5703125" style="28" customWidth="1"/>
    <col min="14342" max="14342" width="15.140625" style="28" customWidth="1"/>
    <col min="14343" max="14343" width="15.42578125" style="28" customWidth="1"/>
    <col min="14344" max="14344" width="14.85546875" style="28" customWidth="1"/>
    <col min="14345" max="14345" width="12.5703125" style="28" customWidth="1"/>
    <col min="14346" max="14346" width="9.140625" style="28" customWidth="1"/>
    <col min="14347" max="14592" width="9.140625" style="28"/>
    <col min="14593" max="14593" width="6.7109375" style="28" customWidth="1"/>
    <col min="14594" max="14594" width="56.42578125" style="28" customWidth="1"/>
    <col min="14595" max="14595" width="15" style="28" customWidth="1"/>
    <col min="14596" max="14596" width="8.42578125" style="28" customWidth="1"/>
    <col min="14597" max="14597" width="9.5703125" style="28" customWidth="1"/>
    <col min="14598" max="14598" width="15.140625" style="28" customWidth="1"/>
    <col min="14599" max="14599" width="15.42578125" style="28" customWidth="1"/>
    <col min="14600" max="14600" width="14.85546875" style="28" customWidth="1"/>
    <col min="14601" max="14601" width="12.5703125" style="28" customWidth="1"/>
    <col min="14602" max="14602" width="9.140625" style="28" customWidth="1"/>
    <col min="14603" max="14848" width="9.140625" style="28"/>
    <col min="14849" max="14849" width="6.7109375" style="28" customWidth="1"/>
    <col min="14850" max="14850" width="56.42578125" style="28" customWidth="1"/>
    <col min="14851" max="14851" width="15" style="28" customWidth="1"/>
    <col min="14852" max="14852" width="8.42578125" style="28" customWidth="1"/>
    <col min="14853" max="14853" width="9.5703125" style="28" customWidth="1"/>
    <col min="14854" max="14854" width="15.140625" style="28" customWidth="1"/>
    <col min="14855" max="14855" width="15.42578125" style="28" customWidth="1"/>
    <col min="14856" max="14856" width="14.85546875" style="28" customWidth="1"/>
    <col min="14857" max="14857" width="12.5703125" style="28" customWidth="1"/>
    <col min="14858" max="14858" width="9.140625" style="28" customWidth="1"/>
    <col min="14859" max="15104" width="9.140625" style="28"/>
    <col min="15105" max="15105" width="6.7109375" style="28" customWidth="1"/>
    <col min="15106" max="15106" width="56.42578125" style="28" customWidth="1"/>
    <col min="15107" max="15107" width="15" style="28" customWidth="1"/>
    <col min="15108" max="15108" width="8.42578125" style="28" customWidth="1"/>
    <col min="15109" max="15109" width="9.5703125" style="28" customWidth="1"/>
    <col min="15110" max="15110" width="15.140625" style="28" customWidth="1"/>
    <col min="15111" max="15111" width="15.42578125" style="28" customWidth="1"/>
    <col min="15112" max="15112" width="14.85546875" style="28" customWidth="1"/>
    <col min="15113" max="15113" width="12.5703125" style="28" customWidth="1"/>
    <col min="15114" max="15114" width="9.140625" style="28" customWidth="1"/>
    <col min="15115" max="15360" width="9.140625" style="28"/>
    <col min="15361" max="15361" width="6.7109375" style="28" customWidth="1"/>
    <col min="15362" max="15362" width="56.42578125" style="28" customWidth="1"/>
    <col min="15363" max="15363" width="15" style="28" customWidth="1"/>
    <col min="15364" max="15364" width="8.42578125" style="28" customWidth="1"/>
    <col min="15365" max="15365" width="9.5703125" style="28" customWidth="1"/>
    <col min="15366" max="15366" width="15.140625" style="28" customWidth="1"/>
    <col min="15367" max="15367" width="15.42578125" style="28" customWidth="1"/>
    <col min="15368" max="15368" width="14.85546875" style="28" customWidth="1"/>
    <col min="15369" max="15369" width="12.5703125" style="28" customWidth="1"/>
    <col min="15370" max="15370" width="9.140625" style="28" customWidth="1"/>
    <col min="15371" max="15616" width="9.140625" style="28"/>
    <col min="15617" max="15617" width="6.7109375" style="28" customWidth="1"/>
    <col min="15618" max="15618" width="56.42578125" style="28" customWidth="1"/>
    <col min="15619" max="15619" width="15" style="28" customWidth="1"/>
    <col min="15620" max="15620" width="8.42578125" style="28" customWidth="1"/>
    <col min="15621" max="15621" width="9.5703125" style="28" customWidth="1"/>
    <col min="15622" max="15622" width="15.140625" style="28" customWidth="1"/>
    <col min="15623" max="15623" width="15.42578125" style="28" customWidth="1"/>
    <col min="15624" max="15624" width="14.85546875" style="28" customWidth="1"/>
    <col min="15625" max="15625" width="12.5703125" style="28" customWidth="1"/>
    <col min="15626" max="15626" width="9.140625" style="28" customWidth="1"/>
    <col min="15627" max="15872" width="9.140625" style="28"/>
    <col min="15873" max="15873" width="6.7109375" style="28" customWidth="1"/>
    <col min="15874" max="15874" width="56.42578125" style="28" customWidth="1"/>
    <col min="15875" max="15875" width="15" style="28" customWidth="1"/>
    <col min="15876" max="15876" width="8.42578125" style="28" customWidth="1"/>
    <col min="15877" max="15877" width="9.5703125" style="28" customWidth="1"/>
    <col min="15878" max="15878" width="15.140625" style="28" customWidth="1"/>
    <col min="15879" max="15879" width="15.42578125" style="28" customWidth="1"/>
    <col min="15880" max="15880" width="14.85546875" style="28" customWidth="1"/>
    <col min="15881" max="15881" width="12.5703125" style="28" customWidth="1"/>
    <col min="15882" max="15882" width="9.140625" style="28" customWidth="1"/>
    <col min="15883" max="16128" width="9.140625" style="28"/>
    <col min="16129" max="16129" width="6.7109375" style="28" customWidth="1"/>
    <col min="16130" max="16130" width="56.42578125" style="28" customWidth="1"/>
    <col min="16131" max="16131" width="15" style="28" customWidth="1"/>
    <col min="16132" max="16132" width="8.42578125" style="28" customWidth="1"/>
    <col min="16133" max="16133" width="9.5703125" style="28" customWidth="1"/>
    <col min="16134" max="16134" width="15.140625" style="28" customWidth="1"/>
    <col min="16135" max="16135" width="15.42578125" style="28" customWidth="1"/>
    <col min="16136" max="16136" width="14.85546875" style="28" customWidth="1"/>
    <col min="16137" max="16137" width="12.5703125" style="28" customWidth="1"/>
    <col min="16138" max="16138" width="9.140625" style="28" customWidth="1"/>
    <col min="16139" max="16384" width="9.140625" style="28"/>
  </cols>
  <sheetData>
    <row r="1" spans="1:8" ht="15" x14ac:dyDescent="0.25">
      <c r="A1" s="217" t="s">
        <v>66</v>
      </c>
      <c r="B1" s="199"/>
      <c r="C1" s="199"/>
      <c r="D1" s="199"/>
      <c r="E1" s="199"/>
      <c r="F1" s="199"/>
      <c r="G1" s="199"/>
      <c r="H1" s="199"/>
    </row>
    <row r="2" spans="1:8" ht="13.5" customHeight="1" x14ac:dyDescent="0.25">
      <c r="A2" s="218" t="s">
        <v>0</v>
      </c>
      <c r="B2" s="199"/>
      <c r="C2" s="199"/>
      <c r="D2" s="199"/>
      <c r="E2" s="199"/>
      <c r="F2" s="199"/>
      <c r="G2" s="199"/>
      <c r="H2" s="199"/>
    </row>
    <row r="3" spans="1:8" ht="15" x14ac:dyDescent="0.25">
      <c r="A3" s="219" t="s">
        <v>658</v>
      </c>
      <c r="B3" s="199"/>
      <c r="C3" s="199"/>
      <c r="D3" s="199"/>
      <c r="E3" s="199"/>
      <c r="F3" s="199"/>
      <c r="G3" s="199"/>
      <c r="H3" s="199"/>
    </row>
    <row r="4" spans="1:8" x14ac:dyDescent="0.25">
      <c r="D4" s="32"/>
      <c r="F4" s="32"/>
    </row>
    <row r="5" spans="1:8" s="33" customFormat="1" ht="64.5" customHeight="1" x14ac:dyDescent="0.2">
      <c r="A5" s="220" t="s">
        <v>475</v>
      </c>
      <c r="B5" s="220"/>
      <c r="C5" s="220"/>
      <c r="D5" s="220"/>
      <c r="E5" s="220"/>
      <c r="F5" s="220"/>
      <c r="G5" s="220"/>
      <c r="H5" s="220"/>
    </row>
    <row r="6" spans="1:8" s="33" customFormat="1" ht="21" customHeight="1" x14ac:dyDescent="0.3">
      <c r="A6" s="221" t="s">
        <v>491</v>
      </c>
      <c r="B6" s="221"/>
      <c r="C6" s="221"/>
      <c r="D6" s="221"/>
      <c r="E6" s="221"/>
      <c r="F6" s="221"/>
      <c r="G6" s="221"/>
      <c r="H6" s="221"/>
    </row>
    <row r="7" spans="1:8" ht="15" x14ac:dyDescent="0.25">
      <c r="A7" s="215" t="s">
        <v>67</v>
      </c>
      <c r="B7" s="216"/>
      <c r="C7" s="216"/>
      <c r="D7" s="216"/>
      <c r="E7" s="216"/>
      <c r="F7" s="216"/>
      <c r="G7" s="216"/>
      <c r="H7" s="216"/>
    </row>
    <row r="8" spans="1:8" ht="54.75" customHeight="1" x14ac:dyDescent="0.2">
      <c r="A8" s="34" t="s">
        <v>1</v>
      </c>
      <c r="B8" s="35" t="s">
        <v>69</v>
      </c>
      <c r="C8" s="36" t="s">
        <v>117</v>
      </c>
      <c r="D8" s="36" t="s">
        <v>118</v>
      </c>
      <c r="E8" s="36" t="s">
        <v>211</v>
      </c>
      <c r="F8" s="37" t="s">
        <v>461</v>
      </c>
      <c r="G8" s="37" t="s">
        <v>474</v>
      </c>
      <c r="H8" s="37" t="s">
        <v>489</v>
      </c>
    </row>
    <row r="9" spans="1:8" x14ac:dyDescent="0.2">
      <c r="A9" s="38" t="s">
        <v>57</v>
      </c>
      <c r="B9" s="36" t="s">
        <v>55</v>
      </c>
      <c r="C9" s="36" t="s">
        <v>56</v>
      </c>
      <c r="D9" s="36" t="s">
        <v>58</v>
      </c>
      <c r="E9" s="36" t="s">
        <v>60</v>
      </c>
      <c r="F9" s="36" t="s">
        <v>61</v>
      </c>
      <c r="G9" s="39">
        <v>7</v>
      </c>
      <c r="H9" s="39">
        <v>8</v>
      </c>
    </row>
    <row r="10" spans="1:8" s="44" customFormat="1" ht="31.5" x14ac:dyDescent="0.25">
      <c r="A10" s="40" t="s">
        <v>57</v>
      </c>
      <c r="B10" s="41" t="s">
        <v>163</v>
      </c>
      <c r="C10" s="42" t="s">
        <v>164</v>
      </c>
      <c r="D10" s="42"/>
      <c r="E10" s="42"/>
      <c r="F10" s="43">
        <f>F11+F21+F100+F111</f>
        <v>9413658.9299999997</v>
      </c>
      <c r="G10" s="43">
        <f>G11+G21+G100+G111</f>
        <v>55444915</v>
      </c>
      <c r="H10" s="43">
        <f>H11+H21+H100+H111</f>
        <v>3519615</v>
      </c>
    </row>
    <row r="11" spans="1:8" s="44" customFormat="1" ht="47.25" x14ac:dyDescent="0.25">
      <c r="A11" s="40" t="s">
        <v>55</v>
      </c>
      <c r="B11" s="41" t="s">
        <v>165</v>
      </c>
      <c r="C11" s="42" t="s">
        <v>166</v>
      </c>
      <c r="D11" s="42"/>
      <c r="E11" s="42"/>
      <c r="F11" s="43">
        <f>F12</f>
        <v>209263</v>
      </c>
      <c r="G11" s="43">
        <f t="shared" ref="G11:H11" si="0">G12</f>
        <v>209263</v>
      </c>
      <c r="H11" s="43">
        <f t="shared" si="0"/>
        <v>209263</v>
      </c>
    </row>
    <row r="12" spans="1:8" s="44" customFormat="1" ht="94.5" x14ac:dyDescent="0.25">
      <c r="A12" s="40" t="s">
        <v>56</v>
      </c>
      <c r="B12" s="41" t="s">
        <v>167</v>
      </c>
      <c r="C12" s="42" t="s">
        <v>168</v>
      </c>
      <c r="D12" s="42"/>
      <c r="E12" s="42"/>
      <c r="F12" s="43">
        <f>F13+F17</f>
        <v>209263</v>
      </c>
      <c r="G12" s="43">
        <f t="shared" ref="G12:H12" si="1">G13+G17</f>
        <v>209263</v>
      </c>
      <c r="H12" s="43">
        <f t="shared" si="1"/>
        <v>209263</v>
      </c>
    </row>
    <row r="13" spans="1:8" s="44" customFormat="1" ht="31.5" x14ac:dyDescent="0.25">
      <c r="A13" s="40" t="s">
        <v>58</v>
      </c>
      <c r="B13" s="46" t="s">
        <v>138</v>
      </c>
      <c r="C13" s="36" t="s">
        <v>168</v>
      </c>
      <c r="D13" s="36" t="s">
        <v>139</v>
      </c>
      <c r="E13" s="36"/>
      <c r="F13" s="47">
        <f t="shared" ref="F13:H19" si="2">F14</f>
        <v>149263</v>
      </c>
      <c r="G13" s="47">
        <f t="shared" si="2"/>
        <v>149263</v>
      </c>
      <c r="H13" s="47">
        <f t="shared" si="2"/>
        <v>149263</v>
      </c>
    </row>
    <row r="14" spans="1:8" s="44" customFormat="1" ht="31.5" x14ac:dyDescent="0.25">
      <c r="A14" s="40" t="s">
        <v>60</v>
      </c>
      <c r="B14" s="46" t="s">
        <v>140</v>
      </c>
      <c r="C14" s="36" t="s">
        <v>168</v>
      </c>
      <c r="D14" s="36" t="s">
        <v>141</v>
      </c>
      <c r="E14" s="36"/>
      <c r="F14" s="47">
        <f t="shared" si="2"/>
        <v>149263</v>
      </c>
      <c r="G14" s="47">
        <f t="shared" si="2"/>
        <v>149263</v>
      </c>
      <c r="H14" s="47">
        <f t="shared" si="2"/>
        <v>149263</v>
      </c>
    </row>
    <row r="15" spans="1:8" s="44" customFormat="1" ht="31.5" x14ac:dyDescent="0.25">
      <c r="A15" s="40" t="s">
        <v>61</v>
      </c>
      <c r="B15" s="46" t="s">
        <v>212</v>
      </c>
      <c r="C15" s="36" t="s">
        <v>168</v>
      </c>
      <c r="D15" s="36" t="s">
        <v>141</v>
      </c>
      <c r="E15" s="36" t="s">
        <v>88</v>
      </c>
      <c r="F15" s="47">
        <f>F16</f>
        <v>149263</v>
      </c>
      <c r="G15" s="47">
        <f t="shared" si="2"/>
        <v>149263</v>
      </c>
      <c r="H15" s="47">
        <f t="shared" si="2"/>
        <v>149263</v>
      </c>
    </row>
    <row r="16" spans="1:8" s="44" customFormat="1" ht="47.25" x14ac:dyDescent="0.25">
      <c r="A16" s="40" t="s">
        <v>62</v>
      </c>
      <c r="B16" s="46" t="s">
        <v>484</v>
      </c>
      <c r="C16" s="36" t="s">
        <v>168</v>
      </c>
      <c r="D16" s="36" t="s">
        <v>141</v>
      </c>
      <c r="E16" s="36" t="s">
        <v>89</v>
      </c>
      <c r="F16" s="47">
        <f>'приложение 4'!G82</f>
        <v>149263</v>
      </c>
      <c r="G16" s="47">
        <f>'приложение 4'!H82</f>
        <v>149263</v>
      </c>
      <c r="H16" s="47">
        <f>'приложение 4'!I82</f>
        <v>149263</v>
      </c>
    </row>
    <row r="17" spans="1:8" s="44" customFormat="1" x14ac:dyDescent="0.25">
      <c r="A17" s="40" t="s">
        <v>63</v>
      </c>
      <c r="B17" s="46" t="str">
        <f>'приложение 4'!B83</f>
        <v>Социальное обеспечение и иные выплаты населению</v>
      </c>
      <c r="C17" s="36" t="s">
        <v>168</v>
      </c>
      <c r="D17" s="36" t="s">
        <v>566</v>
      </c>
      <c r="E17" s="36"/>
      <c r="F17" s="47">
        <f t="shared" si="2"/>
        <v>60000</v>
      </c>
      <c r="G17" s="47">
        <f t="shared" si="2"/>
        <v>60000</v>
      </c>
      <c r="H17" s="47">
        <f t="shared" si="2"/>
        <v>60000</v>
      </c>
    </row>
    <row r="18" spans="1:8" s="44" customFormat="1" x14ac:dyDescent="0.25">
      <c r="A18" s="40" t="s">
        <v>64</v>
      </c>
      <c r="B18" s="46" t="str">
        <f>'приложение 4'!B84</f>
        <v>Иные выплаты населению</v>
      </c>
      <c r="C18" s="36" t="s">
        <v>168</v>
      </c>
      <c r="D18" s="36" t="s">
        <v>567</v>
      </c>
      <c r="E18" s="36"/>
      <c r="F18" s="47">
        <f t="shared" si="2"/>
        <v>60000</v>
      </c>
      <c r="G18" s="47">
        <f t="shared" si="2"/>
        <v>60000</v>
      </c>
      <c r="H18" s="47">
        <f t="shared" si="2"/>
        <v>60000</v>
      </c>
    </row>
    <row r="19" spans="1:8" s="44" customFormat="1" ht="31.5" x14ac:dyDescent="0.25">
      <c r="A19" s="40" t="s">
        <v>65</v>
      </c>
      <c r="B19" s="46" t="s">
        <v>212</v>
      </c>
      <c r="C19" s="36" t="s">
        <v>168</v>
      </c>
      <c r="D19" s="36" t="s">
        <v>567</v>
      </c>
      <c r="E19" s="36" t="s">
        <v>88</v>
      </c>
      <c r="F19" s="47">
        <f>F20</f>
        <v>60000</v>
      </c>
      <c r="G19" s="47">
        <f t="shared" si="2"/>
        <v>60000</v>
      </c>
      <c r="H19" s="47">
        <f t="shared" si="2"/>
        <v>60000</v>
      </c>
    </row>
    <row r="20" spans="1:8" s="44" customFormat="1" ht="47.25" x14ac:dyDescent="0.25">
      <c r="A20" s="40" t="s">
        <v>213</v>
      </c>
      <c r="B20" s="46" t="s">
        <v>484</v>
      </c>
      <c r="C20" s="36" t="s">
        <v>168</v>
      </c>
      <c r="D20" s="36" t="s">
        <v>567</v>
      </c>
      <c r="E20" s="36" t="s">
        <v>89</v>
      </c>
      <c r="F20" s="47">
        <f>'приложение 4'!G84</f>
        <v>60000</v>
      </c>
      <c r="G20" s="47">
        <f>'приложение 4'!H84</f>
        <v>60000</v>
      </c>
      <c r="H20" s="47">
        <f>'приложение 4'!I84</f>
        <v>60000</v>
      </c>
    </row>
    <row r="21" spans="1:8" s="48" customFormat="1" ht="31.5" x14ac:dyDescent="0.25">
      <c r="A21" s="40" t="s">
        <v>214</v>
      </c>
      <c r="B21" s="41" t="s">
        <v>230</v>
      </c>
      <c r="C21" s="42" t="s">
        <v>171</v>
      </c>
      <c r="D21" s="42"/>
      <c r="E21" s="42"/>
      <c r="F21" s="43">
        <f>F27+F36+F41+F50+F55+F60+F75+F70+F80+F85+F22+F65+F95+F90</f>
        <v>8167704.9299999997</v>
      </c>
      <c r="G21" s="43">
        <f t="shared" ref="G21:H21" si="3">G27+G36+G41+G50+G55+G60+G75+G70+G80+G85+G22+G65+G95+G90</f>
        <v>54415361</v>
      </c>
      <c r="H21" s="43">
        <f t="shared" si="3"/>
        <v>2490061</v>
      </c>
    </row>
    <row r="22" spans="1:8" s="44" customFormat="1" ht="78.75" x14ac:dyDescent="0.25">
      <c r="A22" s="40" t="s">
        <v>215</v>
      </c>
      <c r="B22" s="41" t="str">
        <f>'приложение 4'!B117</f>
        <v>Расходы за счет иных МБТ за содействие развитию налогового потенциала. Благоустройство и поддержка жилищно-коммунального хозяйства,муниципальной программы "Социально-экономическое развитие сельсовета"</v>
      </c>
      <c r="C22" s="42" t="s">
        <v>608</v>
      </c>
      <c r="D22" s="42"/>
      <c r="E22" s="42"/>
      <c r="F22" s="43">
        <f>F23</f>
        <v>85300</v>
      </c>
      <c r="G22" s="43">
        <f t="shared" ref="G22:H22" si="4">G23</f>
        <v>0</v>
      </c>
      <c r="H22" s="43">
        <f t="shared" si="4"/>
        <v>0</v>
      </c>
    </row>
    <row r="23" spans="1:8" s="44" customFormat="1" ht="31.5" x14ac:dyDescent="0.25">
      <c r="A23" s="40" t="s">
        <v>216</v>
      </c>
      <c r="B23" s="46" t="s">
        <v>138</v>
      </c>
      <c r="C23" s="36" t="s">
        <v>608</v>
      </c>
      <c r="D23" s="36" t="s">
        <v>139</v>
      </c>
      <c r="E23" s="36"/>
      <c r="F23" s="47">
        <f>F24</f>
        <v>85300</v>
      </c>
      <c r="G23" s="47">
        <f t="shared" ref="G23:H25" si="5">G24</f>
        <v>0</v>
      </c>
      <c r="H23" s="47">
        <f t="shared" si="5"/>
        <v>0</v>
      </c>
    </row>
    <row r="24" spans="1:8" s="44" customFormat="1" ht="31.5" x14ac:dyDescent="0.25">
      <c r="A24" s="40" t="s">
        <v>217</v>
      </c>
      <c r="B24" s="46" t="s">
        <v>140</v>
      </c>
      <c r="C24" s="36" t="s">
        <v>608</v>
      </c>
      <c r="D24" s="36" t="s">
        <v>141</v>
      </c>
      <c r="E24" s="36"/>
      <c r="F24" s="47">
        <f>F25</f>
        <v>85300</v>
      </c>
      <c r="G24" s="47">
        <f t="shared" si="5"/>
        <v>0</v>
      </c>
      <c r="H24" s="47">
        <f t="shared" si="5"/>
        <v>0</v>
      </c>
    </row>
    <row r="25" spans="1:8" s="44" customFormat="1" x14ac:dyDescent="0.25">
      <c r="A25" s="40" t="s">
        <v>218</v>
      </c>
      <c r="B25" s="46" t="s">
        <v>180</v>
      </c>
      <c r="C25" s="36" t="s">
        <v>608</v>
      </c>
      <c r="D25" s="36" t="s">
        <v>141</v>
      </c>
      <c r="E25" s="36" t="s">
        <v>97</v>
      </c>
      <c r="F25" s="47">
        <f>F26</f>
        <v>85300</v>
      </c>
      <c r="G25" s="47">
        <f t="shared" si="5"/>
        <v>0</v>
      </c>
      <c r="H25" s="47">
        <f t="shared" si="5"/>
        <v>0</v>
      </c>
    </row>
    <row r="26" spans="1:8" s="44" customFormat="1" x14ac:dyDescent="0.25">
      <c r="A26" s="40" t="s">
        <v>219</v>
      </c>
      <c r="B26" s="46" t="s">
        <v>100</v>
      </c>
      <c r="C26" s="36" t="s">
        <v>608</v>
      </c>
      <c r="D26" s="36" t="s">
        <v>141</v>
      </c>
      <c r="E26" s="36" t="s">
        <v>101</v>
      </c>
      <c r="F26" s="47">
        <f>'приложение 4'!G119</f>
        <v>85300</v>
      </c>
      <c r="G26" s="47">
        <f>'приложение 4'!H119</f>
        <v>0</v>
      </c>
      <c r="H26" s="47">
        <f>'приложение 4'!I119</f>
        <v>0</v>
      </c>
    </row>
    <row r="27" spans="1:8" s="44" customFormat="1" ht="63" x14ac:dyDescent="0.25">
      <c r="A27" s="40" t="s">
        <v>220</v>
      </c>
      <c r="B27" s="41" t="s">
        <v>184</v>
      </c>
      <c r="C27" s="42" t="s">
        <v>185</v>
      </c>
      <c r="D27" s="42"/>
      <c r="E27" s="42"/>
      <c r="F27" s="43">
        <f>F28+F32</f>
        <v>2340384</v>
      </c>
      <c r="G27" s="43">
        <f t="shared" ref="G27:H27" si="6">G28+G32</f>
        <v>2078461</v>
      </c>
      <c r="H27" s="43">
        <f t="shared" si="6"/>
        <v>1908461</v>
      </c>
    </row>
    <row r="28" spans="1:8" s="44" customFormat="1" ht="78.75" x14ac:dyDescent="0.25">
      <c r="A28" s="40" t="s">
        <v>221</v>
      </c>
      <c r="B28" s="46" t="s">
        <v>127</v>
      </c>
      <c r="C28" s="36" t="s">
        <v>185</v>
      </c>
      <c r="D28" s="36" t="s">
        <v>128</v>
      </c>
      <c r="E28" s="36"/>
      <c r="F28" s="47">
        <f t="shared" ref="F28:H30" si="7">F29</f>
        <v>1760384</v>
      </c>
      <c r="G28" s="47">
        <f t="shared" si="7"/>
        <v>1658461</v>
      </c>
      <c r="H28" s="47">
        <f t="shared" si="7"/>
        <v>1658461</v>
      </c>
    </row>
    <row r="29" spans="1:8" s="44" customFormat="1" ht="31.5" x14ac:dyDescent="0.25">
      <c r="A29" s="40" t="s">
        <v>222</v>
      </c>
      <c r="B29" s="46" t="s">
        <v>129</v>
      </c>
      <c r="C29" s="36" t="s">
        <v>185</v>
      </c>
      <c r="D29" s="36" t="s">
        <v>183</v>
      </c>
      <c r="E29" s="36"/>
      <c r="F29" s="47">
        <f t="shared" si="7"/>
        <v>1760384</v>
      </c>
      <c r="G29" s="47">
        <f t="shared" si="7"/>
        <v>1658461</v>
      </c>
      <c r="H29" s="47">
        <f t="shared" si="7"/>
        <v>1658461</v>
      </c>
    </row>
    <row r="30" spans="1:8" s="44" customFormat="1" x14ac:dyDescent="0.25">
      <c r="A30" s="40" t="s">
        <v>223</v>
      </c>
      <c r="B30" s="46" t="s">
        <v>180</v>
      </c>
      <c r="C30" s="36" t="s">
        <v>185</v>
      </c>
      <c r="D30" s="36" t="s">
        <v>183</v>
      </c>
      <c r="E30" s="36" t="s">
        <v>97</v>
      </c>
      <c r="F30" s="47">
        <f>F31</f>
        <v>1760384</v>
      </c>
      <c r="G30" s="47">
        <f t="shared" si="7"/>
        <v>1658461</v>
      </c>
      <c r="H30" s="47">
        <f t="shared" si="7"/>
        <v>1658461</v>
      </c>
    </row>
    <row r="31" spans="1:8" s="44" customFormat="1" x14ac:dyDescent="0.25">
      <c r="A31" s="40" t="s">
        <v>224</v>
      </c>
      <c r="B31" s="46" t="s">
        <v>100</v>
      </c>
      <c r="C31" s="36" t="s">
        <v>185</v>
      </c>
      <c r="D31" s="36" t="s">
        <v>183</v>
      </c>
      <c r="E31" s="36" t="s">
        <v>101</v>
      </c>
      <c r="F31" s="47">
        <f>'приложение 4'!G122</f>
        <v>1760384</v>
      </c>
      <c r="G31" s="47">
        <f>'приложение 4'!H122</f>
        <v>1658461</v>
      </c>
      <c r="H31" s="47">
        <f>'приложение 4'!I122</f>
        <v>1658461</v>
      </c>
    </row>
    <row r="32" spans="1:8" s="44" customFormat="1" ht="31.5" x14ac:dyDescent="0.25">
      <c r="A32" s="40" t="s">
        <v>225</v>
      </c>
      <c r="B32" s="46" t="s">
        <v>138</v>
      </c>
      <c r="C32" s="36" t="s">
        <v>185</v>
      </c>
      <c r="D32" s="36" t="s">
        <v>139</v>
      </c>
      <c r="E32" s="36"/>
      <c r="F32" s="47">
        <f>F33</f>
        <v>580000</v>
      </c>
      <c r="G32" s="47">
        <f t="shared" ref="G32:H34" si="8">G33</f>
        <v>420000</v>
      </c>
      <c r="H32" s="47">
        <f t="shared" si="8"/>
        <v>250000</v>
      </c>
    </row>
    <row r="33" spans="1:8" s="44" customFormat="1" ht="31.5" x14ac:dyDescent="0.25">
      <c r="A33" s="40" t="s">
        <v>226</v>
      </c>
      <c r="B33" s="46" t="s">
        <v>140</v>
      </c>
      <c r="C33" s="36" t="s">
        <v>185</v>
      </c>
      <c r="D33" s="36" t="s">
        <v>141</v>
      </c>
      <c r="E33" s="36"/>
      <c r="F33" s="47">
        <f>F34</f>
        <v>580000</v>
      </c>
      <c r="G33" s="47">
        <f t="shared" si="8"/>
        <v>420000</v>
      </c>
      <c r="H33" s="47">
        <f t="shared" si="8"/>
        <v>250000</v>
      </c>
    </row>
    <row r="34" spans="1:8" s="44" customFormat="1" x14ac:dyDescent="0.25">
      <c r="A34" s="40" t="s">
        <v>227</v>
      </c>
      <c r="B34" s="46" t="s">
        <v>180</v>
      </c>
      <c r="C34" s="36" t="s">
        <v>185</v>
      </c>
      <c r="D34" s="36" t="s">
        <v>141</v>
      </c>
      <c r="E34" s="36" t="s">
        <v>97</v>
      </c>
      <c r="F34" s="47">
        <f>F35</f>
        <v>580000</v>
      </c>
      <c r="G34" s="47">
        <f t="shared" si="8"/>
        <v>420000</v>
      </c>
      <c r="H34" s="47">
        <f t="shared" si="8"/>
        <v>250000</v>
      </c>
    </row>
    <row r="35" spans="1:8" s="44" customFormat="1" x14ac:dyDescent="0.25">
      <c r="A35" s="40" t="s">
        <v>228</v>
      </c>
      <c r="B35" s="46" t="s">
        <v>100</v>
      </c>
      <c r="C35" s="36" t="s">
        <v>185</v>
      </c>
      <c r="D35" s="36" t="s">
        <v>141</v>
      </c>
      <c r="E35" s="36" t="s">
        <v>101</v>
      </c>
      <c r="F35" s="47">
        <f>'приложение 4'!G124</f>
        <v>580000</v>
      </c>
      <c r="G35" s="47">
        <f>'приложение 4'!H124</f>
        <v>420000</v>
      </c>
      <c r="H35" s="47">
        <f>'приложение 4'!I124</f>
        <v>250000</v>
      </c>
    </row>
    <row r="36" spans="1:8" s="44" customFormat="1" ht="78.75" x14ac:dyDescent="0.25">
      <c r="A36" s="40" t="s">
        <v>229</v>
      </c>
      <c r="B36" s="41" t="s">
        <v>186</v>
      </c>
      <c r="C36" s="42" t="s">
        <v>187</v>
      </c>
      <c r="D36" s="42"/>
      <c r="E36" s="42"/>
      <c r="F36" s="43">
        <f>F37</f>
        <v>5000</v>
      </c>
      <c r="G36" s="43">
        <f t="shared" ref="G36:H39" si="9">G37</f>
        <v>0</v>
      </c>
      <c r="H36" s="43">
        <f t="shared" si="9"/>
        <v>0</v>
      </c>
    </row>
    <row r="37" spans="1:8" s="44" customFormat="1" ht="31.5" x14ac:dyDescent="0.25">
      <c r="A37" s="40" t="s">
        <v>231</v>
      </c>
      <c r="B37" s="46" t="s">
        <v>138</v>
      </c>
      <c r="C37" s="36" t="s">
        <v>187</v>
      </c>
      <c r="D37" s="36" t="s">
        <v>139</v>
      </c>
      <c r="E37" s="36"/>
      <c r="F37" s="47">
        <f>F38</f>
        <v>5000</v>
      </c>
      <c r="G37" s="47">
        <f t="shared" si="9"/>
        <v>0</v>
      </c>
      <c r="H37" s="47">
        <f t="shared" si="9"/>
        <v>0</v>
      </c>
    </row>
    <row r="38" spans="1:8" s="44" customFormat="1" ht="31.5" x14ac:dyDescent="0.25">
      <c r="A38" s="40" t="s">
        <v>232</v>
      </c>
      <c r="B38" s="46" t="s">
        <v>140</v>
      </c>
      <c r="C38" s="36" t="s">
        <v>187</v>
      </c>
      <c r="D38" s="36" t="s">
        <v>141</v>
      </c>
      <c r="E38" s="36"/>
      <c r="F38" s="47">
        <f>F39</f>
        <v>5000</v>
      </c>
      <c r="G38" s="47">
        <f t="shared" si="9"/>
        <v>0</v>
      </c>
      <c r="H38" s="47">
        <f t="shared" si="9"/>
        <v>0</v>
      </c>
    </row>
    <row r="39" spans="1:8" s="44" customFormat="1" x14ac:dyDescent="0.25">
      <c r="A39" s="40" t="s">
        <v>233</v>
      </c>
      <c r="B39" s="46" t="s">
        <v>180</v>
      </c>
      <c r="C39" s="36" t="s">
        <v>187</v>
      </c>
      <c r="D39" s="36" t="s">
        <v>141</v>
      </c>
      <c r="E39" s="36" t="s">
        <v>97</v>
      </c>
      <c r="F39" s="47">
        <f>F40</f>
        <v>5000</v>
      </c>
      <c r="G39" s="47">
        <f t="shared" si="9"/>
        <v>0</v>
      </c>
      <c r="H39" s="47">
        <f t="shared" si="9"/>
        <v>0</v>
      </c>
    </row>
    <row r="40" spans="1:8" s="44" customFormat="1" x14ac:dyDescent="0.25">
      <c r="A40" s="40" t="s">
        <v>234</v>
      </c>
      <c r="B40" s="46" t="s">
        <v>100</v>
      </c>
      <c r="C40" s="36" t="s">
        <v>187</v>
      </c>
      <c r="D40" s="36" t="s">
        <v>141</v>
      </c>
      <c r="E40" s="36" t="s">
        <v>101</v>
      </c>
      <c r="F40" s="47">
        <f>'приложение 4'!G127</f>
        <v>5000</v>
      </c>
      <c r="G40" s="47">
        <f>'приложение 4'!H127</f>
        <v>0</v>
      </c>
      <c r="H40" s="47">
        <f>'приложение 4'!I127</f>
        <v>0</v>
      </c>
    </row>
    <row r="41" spans="1:8" s="44" customFormat="1" ht="78.75" x14ac:dyDescent="0.25">
      <c r="A41" s="40" t="s">
        <v>235</v>
      </c>
      <c r="B41" s="41" t="s">
        <v>188</v>
      </c>
      <c r="C41" s="42" t="s">
        <v>189</v>
      </c>
      <c r="D41" s="42"/>
      <c r="E41" s="42"/>
      <c r="F41" s="43">
        <f>F42+F46</f>
        <v>517720</v>
      </c>
      <c r="G41" s="43">
        <f t="shared" ref="G41:H41" si="10">G42+G46</f>
        <v>0</v>
      </c>
      <c r="H41" s="43">
        <f t="shared" si="10"/>
        <v>0</v>
      </c>
    </row>
    <row r="42" spans="1:8" s="44" customFormat="1" ht="31.5" x14ac:dyDescent="0.25">
      <c r="A42" s="40" t="s">
        <v>236</v>
      </c>
      <c r="B42" s="46" t="s">
        <v>138</v>
      </c>
      <c r="C42" s="36" t="s">
        <v>189</v>
      </c>
      <c r="D42" s="36" t="s">
        <v>139</v>
      </c>
      <c r="E42" s="36"/>
      <c r="F42" s="47">
        <f>F43</f>
        <v>515720</v>
      </c>
      <c r="G42" s="47">
        <f t="shared" ref="G42:H44" si="11">G43</f>
        <v>0</v>
      </c>
      <c r="H42" s="47">
        <f t="shared" si="11"/>
        <v>0</v>
      </c>
    </row>
    <row r="43" spans="1:8" s="44" customFormat="1" ht="31.5" x14ac:dyDescent="0.25">
      <c r="A43" s="40" t="s">
        <v>237</v>
      </c>
      <c r="B43" s="46" t="s">
        <v>140</v>
      </c>
      <c r="C43" s="36" t="s">
        <v>189</v>
      </c>
      <c r="D43" s="36" t="s">
        <v>141</v>
      </c>
      <c r="E43" s="36"/>
      <c r="F43" s="47">
        <f>F44</f>
        <v>515720</v>
      </c>
      <c r="G43" s="47">
        <f t="shared" si="11"/>
        <v>0</v>
      </c>
      <c r="H43" s="47">
        <f t="shared" si="11"/>
        <v>0</v>
      </c>
    </row>
    <row r="44" spans="1:8" s="44" customFormat="1" x14ac:dyDescent="0.25">
      <c r="A44" s="40" t="s">
        <v>238</v>
      </c>
      <c r="B44" s="46" t="s">
        <v>180</v>
      </c>
      <c r="C44" s="36" t="s">
        <v>189</v>
      </c>
      <c r="D44" s="36" t="s">
        <v>141</v>
      </c>
      <c r="E44" s="36" t="s">
        <v>97</v>
      </c>
      <c r="F44" s="47">
        <f>F45</f>
        <v>515720</v>
      </c>
      <c r="G44" s="47">
        <f t="shared" si="11"/>
        <v>0</v>
      </c>
      <c r="H44" s="47">
        <f t="shared" si="11"/>
        <v>0</v>
      </c>
    </row>
    <row r="45" spans="1:8" s="44" customFormat="1" x14ac:dyDescent="0.25">
      <c r="A45" s="40" t="s">
        <v>239</v>
      </c>
      <c r="B45" s="46" t="s">
        <v>100</v>
      </c>
      <c r="C45" s="36" t="s">
        <v>189</v>
      </c>
      <c r="D45" s="36" t="s">
        <v>141</v>
      </c>
      <c r="E45" s="36" t="s">
        <v>101</v>
      </c>
      <c r="F45" s="47">
        <f>'приложение 4'!G130</f>
        <v>515720</v>
      </c>
      <c r="G45" s="47">
        <f>'приложение 4'!H130</f>
        <v>0</v>
      </c>
      <c r="H45" s="47">
        <f>'приложение 4'!I130</f>
        <v>0</v>
      </c>
    </row>
    <row r="46" spans="1:8" s="44" customFormat="1" x14ac:dyDescent="0.25">
      <c r="A46" s="40" t="s">
        <v>240</v>
      </c>
      <c r="B46" s="46" t="s">
        <v>142</v>
      </c>
      <c r="C46" s="36" t="s">
        <v>189</v>
      </c>
      <c r="D46" s="36" t="s">
        <v>143</v>
      </c>
      <c r="E46" s="36"/>
      <c r="F46" s="47">
        <f>F47</f>
        <v>2000</v>
      </c>
      <c r="G46" s="47">
        <f t="shared" ref="G46:H48" si="12">G47</f>
        <v>0</v>
      </c>
      <c r="H46" s="47">
        <f t="shared" si="12"/>
        <v>0</v>
      </c>
    </row>
    <row r="47" spans="1:8" s="44" customFormat="1" x14ac:dyDescent="0.25">
      <c r="A47" s="40" t="s">
        <v>241</v>
      </c>
      <c r="B47" s="46" t="s">
        <v>144</v>
      </c>
      <c r="C47" s="36" t="s">
        <v>189</v>
      </c>
      <c r="D47" s="36" t="s">
        <v>145</v>
      </c>
      <c r="E47" s="36"/>
      <c r="F47" s="47">
        <f>F48</f>
        <v>2000</v>
      </c>
      <c r="G47" s="47">
        <f t="shared" si="12"/>
        <v>0</v>
      </c>
      <c r="H47" s="47">
        <f t="shared" si="12"/>
        <v>0</v>
      </c>
    </row>
    <row r="48" spans="1:8" s="44" customFormat="1" x14ac:dyDescent="0.25">
      <c r="A48" s="40" t="s">
        <v>242</v>
      </c>
      <c r="B48" s="46" t="s">
        <v>180</v>
      </c>
      <c r="C48" s="36" t="s">
        <v>189</v>
      </c>
      <c r="D48" s="36" t="s">
        <v>145</v>
      </c>
      <c r="E48" s="36" t="s">
        <v>97</v>
      </c>
      <c r="F48" s="47">
        <f>F49</f>
        <v>2000</v>
      </c>
      <c r="G48" s="47">
        <f t="shared" si="12"/>
        <v>0</v>
      </c>
      <c r="H48" s="47">
        <f t="shared" si="12"/>
        <v>0</v>
      </c>
    </row>
    <row r="49" spans="1:9" s="44" customFormat="1" x14ac:dyDescent="0.25">
      <c r="A49" s="40" t="s">
        <v>243</v>
      </c>
      <c r="B49" s="46" t="s">
        <v>100</v>
      </c>
      <c r="C49" s="36" t="s">
        <v>189</v>
      </c>
      <c r="D49" s="36" t="s">
        <v>145</v>
      </c>
      <c r="E49" s="36" t="s">
        <v>101</v>
      </c>
      <c r="F49" s="47">
        <f>'приложение 4'!G132</f>
        <v>2000</v>
      </c>
      <c r="G49" s="47">
        <f>'приложение 4'!H132</f>
        <v>0</v>
      </c>
      <c r="H49" s="47">
        <f>'приложение 4'!I132</f>
        <v>0</v>
      </c>
    </row>
    <row r="50" spans="1:9" s="44" customFormat="1" ht="63" x14ac:dyDescent="0.25">
      <c r="A50" s="40" t="s">
        <v>244</v>
      </c>
      <c r="B50" s="41" t="s">
        <v>181</v>
      </c>
      <c r="C50" s="42" t="s">
        <v>182</v>
      </c>
      <c r="D50" s="42"/>
      <c r="E50" s="42"/>
      <c r="F50" s="43">
        <f>F51</f>
        <v>5000</v>
      </c>
      <c r="G50" s="43">
        <f t="shared" ref="G50:H53" si="13">G51</f>
        <v>0</v>
      </c>
      <c r="H50" s="43">
        <f t="shared" si="13"/>
        <v>0</v>
      </c>
    </row>
    <row r="51" spans="1:9" s="44" customFormat="1" ht="31.5" x14ac:dyDescent="0.25">
      <c r="A51" s="40" t="s">
        <v>245</v>
      </c>
      <c r="B51" s="46" t="s">
        <v>138</v>
      </c>
      <c r="C51" s="36" t="s">
        <v>182</v>
      </c>
      <c r="D51" s="36" t="s">
        <v>139</v>
      </c>
      <c r="E51" s="36"/>
      <c r="F51" s="47">
        <f>F52</f>
        <v>5000</v>
      </c>
      <c r="G51" s="47">
        <f t="shared" si="13"/>
        <v>0</v>
      </c>
      <c r="H51" s="47">
        <f t="shared" si="13"/>
        <v>0</v>
      </c>
    </row>
    <row r="52" spans="1:9" s="44" customFormat="1" ht="31.5" x14ac:dyDescent="0.25">
      <c r="A52" s="40" t="s">
        <v>246</v>
      </c>
      <c r="B52" s="46" t="s">
        <v>140</v>
      </c>
      <c r="C52" s="36" t="s">
        <v>182</v>
      </c>
      <c r="D52" s="36" t="s">
        <v>141</v>
      </c>
      <c r="E52" s="36"/>
      <c r="F52" s="47">
        <f>F53</f>
        <v>5000</v>
      </c>
      <c r="G52" s="47">
        <f t="shared" si="13"/>
        <v>0</v>
      </c>
      <c r="H52" s="47">
        <f t="shared" si="13"/>
        <v>0</v>
      </c>
    </row>
    <row r="53" spans="1:9" s="44" customFormat="1" x14ac:dyDescent="0.25">
      <c r="A53" s="40" t="s">
        <v>247</v>
      </c>
      <c r="B53" s="46" t="s">
        <v>180</v>
      </c>
      <c r="C53" s="36" t="s">
        <v>182</v>
      </c>
      <c r="D53" s="36" t="s">
        <v>141</v>
      </c>
      <c r="E53" s="36" t="s">
        <v>97</v>
      </c>
      <c r="F53" s="47">
        <f>F54</f>
        <v>5000</v>
      </c>
      <c r="G53" s="47">
        <f t="shared" si="13"/>
        <v>0</v>
      </c>
      <c r="H53" s="47">
        <f t="shared" si="13"/>
        <v>0</v>
      </c>
    </row>
    <row r="54" spans="1:9" s="44" customFormat="1" x14ac:dyDescent="0.25">
      <c r="A54" s="40" t="s">
        <v>248</v>
      </c>
      <c r="B54" s="46" t="s">
        <v>98</v>
      </c>
      <c r="C54" s="36" t="s">
        <v>182</v>
      </c>
      <c r="D54" s="36" t="s">
        <v>141</v>
      </c>
      <c r="E54" s="36" t="s">
        <v>99</v>
      </c>
      <c r="F54" s="47">
        <f>'приложение 4'!G113</f>
        <v>5000</v>
      </c>
      <c r="G54" s="47">
        <f>'приложение 4'!H113</f>
        <v>0</v>
      </c>
      <c r="H54" s="47">
        <f>'приложение 4'!I113</f>
        <v>0</v>
      </c>
    </row>
    <row r="55" spans="1:9" s="44" customFormat="1" ht="63" x14ac:dyDescent="0.25">
      <c r="A55" s="40" t="s">
        <v>249</v>
      </c>
      <c r="B55" s="41" t="s">
        <v>190</v>
      </c>
      <c r="C55" s="42" t="s">
        <v>191</v>
      </c>
      <c r="D55" s="42"/>
      <c r="E55" s="42"/>
      <c r="F55" s="43">
        <f>F56</f>
        <v>5000</v>
      </c>
      <c r="G55" s="43">
        <f t="shared" ref="G55:H58" si="14">G56</f>
        <v>0</v>
      </c>
      <c r="H55" s="43">
        <f t="shared" si="14"/>
        <v>0</v>
      </c>
    </row>
    <row r="56" spans="1:9" s="44" customFormat="1" ht="31.5" x14ac:dyDescent="0.25">
      <c r="A56" s="40" t="s">
        <v>250</v>
      </c>
      <c r="B56" s="46" t="s">
        <v>138</v>
      </c>
      <c r="C56" s="36" t="s">
        <v>191</v>
      </c>
      <c r="D56" s="36" t="s">
        <v>139</v>
      </c>
      <c r="E56" s="36"/>
      <c r="F56" s="47">
        <f>F57</f>
        <v>5000</v>
      </c>
      <c r="G56" s="47">
        <f t="shared" si="14"/>
        <v>0</v>
      </c>
      <c r="H56" s="47">
        <f t="shared" si="14"/>
        <v>0</v>
      </c>
    </row>
    <row r="57" spans="1:9" s="44" customFormat="1" ht="31.5" x14ac:dyDescent="0.25">
      <c r="A57" s="40" t="s">
        <v>251</v>
      </c>
      <c r="B57" s="46" t="s">
        <v>140</v>
      </c>
      <c r="C57" s="36" t="s">
        <v>191</v>
      </c>
      <c r="D57" s="36" t="s">
        <v>141</v>
      </c>
      <c r="E57" s="36"/>
      <c r="F57" s="47">
        <f>F58</f>
        <v>5000</v>
      </c>
      <c r="G57" s="47">
        <f t="shared" si="14"/>
        <v>0</v>
      </c>
      <c r="H57" s="47">
        <f t="shared" si="14"/>
        <v>0</v>
      </c>
    </row>
    <row r="58" spans="1:9" s="44" customFormat="1" x14ac:dyDescent="0.25">
      <c r="A58" s="40" t="s">
        <v>252</v>
      </c>
      <c r="B58" s="46" t="s">
        <v>180</v>
      </c>
      <c r="C58" s="36" t="s">
        <v>191</v>
      </c>
      <c r="D58" s="36" t="s">
        <v>141</v>
      </c>
      <c r="E58" s="36" t="s">
        <v>97</v>
      </c>
      <c r="F58" s="47">
        <f>F59</f>
        <v>5000</v>
      </c>
      <c r="G58" s="47">
        <f t="shared" si="14"/>
        <v>0</v>
      </c>
      <c r="H58" s="47">
        <f t="shared" si="14"/>
        <v>0</v>
      </c>
    </row>
    <row r="59" spans="1:9" s="44" customFormat="1" x14ac:dyDescent="0.25">
      <c r="A59" s="40" t="s">
        <v>253</v>
      </c>
      <c r="B59" s="46" t="s">
        <v>100</v>
      </c>
      <c r="C59" s="36" t="s">
        <v>191</v>
      </c>
      <c r="D59" s="36" t="s">
        <v>141</v>
      </c>
      <c r="E59" s="36" t="s">
        <v>101</v>
      </c>
      <c r="F59" s="47">
        <f>'приложение 4'!G135</f>
        <v>5000</v>
      </c>
      <c r="G59" s="47">
        <f>'приложение 4'!H135</f>
        <v>0</v>
      </c>
      <c r="H59" s="47">
        <f>'приложение 4'!I135</f>
        <v>0</v>
      </c>
    </row>
    <row r="60" spans="1:9" s="44" customFormat="1" ht="94.5" x14ac:dyDescent="0.25">
      <c r="A60" s="40" t="s">
        <v>254</v>
      </c>
      <c r="B60" s="41" t="s">
        <v>172</v>
      </c>
      <c r="C60" s="42" t="s">
        <v>173</v>
      </c>
      <c r="D60" s="42"/>
      <c r="E60" s="42"/>
      <c r="F60" s="43">
        <f>F61</f>
        <v>602200.93000000005</v>
      </c>
      <c r="G60" s="43">
        <f t="shared" ref="G60:H63" si="15">G61</f>
        <v>306000</v>
      </c>
      <c r="H60" s="43">
        <f t="shared" si="15"/>
        <v>581600</v>
      </c>
      <c r="I60" s="49"/>
    </row>
    <row r="61" spans="1:9" s="44" customFormat="1" ht="31.5" x14ac:dyDescent="0.25">
      <c r="A61" s="40" t="s">
        <v>255</v>
      </c>
      <c r="B61" s="46" t="s">
        <v>138</v>
      </c>
      <c r="C61" s="36" t="s">
        <v>173</v>
      </c>
      <c r="D61" s="36" t="s">
        <v>139</v>
      </c>
      <c r="E61" s="36"/>
      <c r="F61" s="47">
        <f>F62</f>
        <v>602200.93000000005</v>
      </c>
      <c r="G61" s="47">
        <f t="shared" si="15"/>
        <v>306000</v>
      </c>
      <c r="H61" s="47">
        <f t="shared" si="15"/>
        <v>581600</v>
      </c>
    </row>
    <row r="62" spans="1:9" s="44" customFormat="1" ht="31.5" x14ac:dyDescent="0.25">
      <c r="A62" s="40" t="s">
        <v>256</v>
      </c>
      <c r="B62" s="46" t="s">
        <v>140</v>
      </c>
      <c r="C62" s="36" t="s">
        <v>173</v>
      </c>
      <c r="D62" s="36" t="s">
        <v>141</v>
      </c>
      <c r="E62" s="36"/>
      <c r="F62" s="47">
        <f>F63</f>
        <v>602200.93000000005</v>
      </c>
      <c r="G62" s="47">
        <f t="shared" si="15"/>
        <v>306000</v>
      </c>
      <c r="H62" s="47">
        <f t="shared" si="15"/>
        <v>581600</v>
      </c>
    </row>
    <row r="63" spans="1:9" s="44" customFormat="1" x14ac:dyDescent="0.25">
      <c r="A63" s="40" t="s">
        <v>257</v>
      </c>
      <c r="B63" s="46" t="s">
        <v>169</v>
      </c>
      <c r="C63" s="36" t="s">
        <v>173</v>
      </c>
      <c r="D63" s="36" t="s">
        <v>141</v>
      </c>
      <c r="E63" s="36" t="s">
        <v>91</v>
      </c>
      <c r="F63" s="47">
        <f>F64</f>
        <v>602200.93000000005</v>
      </c>
      <c r="G63" s="47">
        <f t="shared" si="15"/>
        <v>306000</v>
      </c>
      <c r="H63" s="47">
        <f t="shared" si="15"/>
        <v>581600</v>
      </c>
    </row>
    <row r="64" spans="1:9" s="44" customFormat="1" x14ac:dyDescent="0.25">
      <c r="A64" s="40" t="s">
        <v>258</v>
      </c>
      <c r="B64" s="46" t="s">
        <v>92</v>
      </c>
      <c r="C64" s="36" t="s">
        <v>173</v>
      </c>
      <c r="D64" s="36" t="s">
        <v>141</v>
      </c>
      <c r="E64" s="36" t="s">
        <v>93</v>
      </c>
      <c r="F64" s="47">
        <f>'приложение 4'!G91</f>
        <v>602200.93000000005</v>
      </c>
      <c r="G64" s="47">
        <f>'приложение 4'!H91</f>
        <v>306000</v>
      </c>
      <c r="H64" s="47">
        <f>'приложение 4'!I91</f>
        <v>581600</v>
      </c>
    </row>
    <row r="65" spans="1:8" s="48" customFormat="1" ht="126" x14ac:dyDescent="0.25">
      <c r="A65" s="40" t="s">
        <v>259</v>
      </c>
      <c r="B65" s="50" t="str">
        <f>'приложение 4'!B92</f>
        <v>Расходы на содержание автомобильных дорог общего пользования местного значения сельских поселений за счет средств дорожного фонда Красноярского края в рамках подпрограммы "Благоустройство и поддержка жилищно-коммунального хозяйства" муниципальной программы "Социально-экономическое развитие сельсовета"</v>
      </c>
      <c r="C65" s="42" t="s">
        <v>607</v>
      </c>
      <c r="D65" s="45"/>
      <c r="E65" s="45"/>
      <c r="F65" s="43">
        <f>F66</f>
        <v>421400</v>
      </c>
      <c r="G65" s="43">
        <f t="shared" ref="G65:H68" si="16">G66</f>
        <v>0</v>
      </c>
      <c r="H65" s="43">
        <f t="shared" si="16"/>
        <v>0</v>
      </c>
    </row>
    <row r="66" spans="1:8" s="48" customFormat="1" ht="31.5" x14ac:dyDescent="0.25">
      <c r="A66" s="40" t="s">
        <v>260</v>
      </c>
      <c r="B66" s="46" t="s">
        <v>138</v>
      </c>
      <c r="C66" s="36" t="s">
        <v>607</v>
      </c>
      <c r="D66" s="36" t="s">
        <v>139</v>
      </c>
      <c r="E66" s="36"/>
      <c r="F66" s="47">
        <f>F67</f>
        <v>421400</v>
      </c>
      <c r="G66" s="47">
        <f t="shared" si="16"/>
        <v>0</v>
      </c>
      <c r="H66" s="47">
        <f t="shared" si="16"/>
        <v>0</v>
      </c>
    </row>
    <row r="67" spans="1:8" s="48" customFormat="1" ht="31.5" x14ac:dyDescent="0.25">
      <c r="A67" s="40" t="s">
        <v>261</v>
      </c>
      <c r="B67" s="46" t="s">
        <v>140</v>
      </c>
      <c r="C67" s="36" t="s">
        <v>607</v>
      </c>
      <c r="D67" s="36" t="s">
        <v>141</v>
      </c>
      <c r="E67" s="36"/>
      <c r="F67" s="47">
        <f>F68</f>
        <v>421400</v>
      </c>
      <c r="G67" s="47">
        <f t="shared" si="16"/>
        <v>0</v>
      </c>
      <c r="H67" s="47">
        <f t="shared" si="16"/>
        <v>0</v>
      </c>
    </row>
    <row r="68" spans="1:8" s="48" customFormat="1" x14ac:dyDescent="0.25">
      <c r="A68" s="40" t="s">
        <v>262</v>
      </c>
      <c r="B68" s="46" t="s">
        <v>169</v>
      </c>
      <c r="C68" s="36" t="s">
        <v>607</v>
      </c>
      <c r="D68" s="36" t="s">
        <v>141</v>
      </c>
      <c r="E68" s="36" t="s">
        <v>91</v>
      </c>
      <c r="F68" s="47">
        <f>F69</f>
        <v>421400</v>
      </c>
      <c r="G68" s="47">
        <f t="shared" si="16"/>
        <v>0</v>
      </c>
      <c r="H68" s="47">
        <f t="shared" si="16"/>
        <v>0</v>
      </c>
    </row>
    <row r="69" spans="1:8" s="48" customFormat="1" x14ac:dyDescent="0.25">
      <c r="A69" s="40" t="s">
        <v>263</v>
      </c>
      <c r="B69" s="46" t="s">
        <v>92</v>
      </c>
      <c r="C69" s="36" t="s">
        <v>607</v>
      </c>
      <c r="D69" s="36" t="s">
        <v>141</v>
      </c>
      <c r="E69" s="36" t="s">
        <v>93</v>
      </c>
      <c r="F69" s="47">
        <f>'приложение 4'!G94</f>
        <v>421400</v>
      </c>
      <c r="G69" s="47">
        <f>'приложение 4'!H94</f>
        <v>0</v>
      </c>
      <c r="H69" s="47">
        <f>'приложение 4'!I94</f>
        <v>0</v>
      </c>
    </row>
    <row r="70" spans="1:8" s="48" customFormat="1" ht="110.25" x14ac:dyDescent="0.25">
      <c r="A70" s="40" t="s">
        <v>264</v>
      </c>
      <c r="B70" s="50" t="s">
        <v>174</v>
      </c>
      <c r="C70" s="42" t="s">
        <v>175</v>
      </c>
      <c r="D70" s="45"/>
      <c r="E70" s="45"/>
      <c r="F70" s="43">
        <f>F71</f>
        <v>2152558</v>
      </c>
      <c r="G70" s="43">
        <f t="shared" ref="G70:H73" si="17">G71</f>
        <v>0</v>
      </c>
      <c r="H70" s="43">
        <f t="shared" si="17"/>
        <v>0</v>
      </c>
    </row>
    <row r="71" spans="1:8" s="48" customFormat="1" ht="31.5" x14ac:dyDescent="0.25">
      <c r="A71" s="40" t="s">
        <v>265</v>
      </c>
      <c r="B71" s="46" t="s">
        <v>138</v>
      </c>
      <c r="C71" s="36" t="s">
        <v>175</v>
      </c>
      <c r="D71" s="36" t="s">
        <v>139</v>
      </c>
      <c r="E71" s="36"/>
      <c r="F71" s="47">
        <f>F72</f>
        <v>2152558</v>
      </c>
      <c r="G71" s="47">
        <f t="shared" si="17"/>
        <v>0</v>
      </c>
      <c r="H71" s="47">
        <f t="shared" si="17"/>
        <v>0</v>
      </c>
    </row>
    <row r="72" spans="1:8" s="48" customFormat="1" ht="31.5" x14ac:dyDescent="0.25">
      <c r="A72" s="40" t="s">
        <v>266</v>
      </c>
      <c r="B72" s="46" t="s">
        <v>140</v>
      </c>
      <c r="C72" s="36" t="s">
        <v>175</v>
      </c>
      <c r="D72" s="36" t="s">
        <v>141</v>
      </c>
      <c r="E72" s="36"/>
      <c r="F72" s="47">
        <f>F73</f>
        <v>2152558</v>
      </c>
      <c r="G72" s="47">
        <f t="shared" si="17"/>
        <v>0</v>
      </c>
      <c r="H72" s="47">
        <f t="shared" si="17"/>
        <v>0</v>
      </c>
    </row>
    <row r="73" spans="1:8" s="48" customFormat="1" x14ac:dyDescent="0.25">
      <c r="A73" s="40" t="s">
        <v>267</v>
      </c>
      <c r="B73" s="46" t="s">
        <v>169</v>
      </c>
      <c r="C73" s="36" t="s">
        <v>175</v>
      </c>
      <c r="D73" s="36" t="s">
        <v>141</v>
      </c>
      <c r="E73" s="36" t="s">
        <v>91</v>
      </c>
      <c r="F73" s="47">
        <f>F74</f>
        <v>2152558</v>
      </c>
      <c r="G73" s="47">
        <f t="shared" si="17"/>
        <v>0</v>
      </c>
      <c r="H73" s="47">
        <f t="shared" si="17"/>
        <v>0</v>
      </c>
    </row>
    <row r="74" spans="1:8" s="48" customFormat="1" x14ac:dyDescent="0.25">
      <c r="A74" s="40" t="s">
        <v>268</v>
      </c>
      <c r="B74" s="46" t="s">
        <v>92</v>
      </c>
      <c r="C74" s="36" t="s">
        <v>175</v>
      </c>
      <c r="D74" s="36" t="s">
        <v>141</v>
      </c>
      <c r="E74" s="36" t="s">
        <v>93</v>
      </c>
      <c r="F74" s="47">
        <f>'приложение 4'!G97</f>
        <v>2152558</v>
      </c>
      <c r="G74" s="47">
        <f>'приложение 4'!H97</f>
        <v>0</v>
      </c>
      <c r="H74" s="47">
        <f>'приложение 4'!I97</f>
        <v>0</v>
      </c>
    </row>
    <row r="75" spans="1:8" s="44" customFormat="1" ht="78.75" x14ac:dyDescent="0.25">
      <c r="A75" s="40" t="s">
        <v>269</v>
      </c>
      <c r="B75" s="41" t="s">
        <v>192</v>
      </c>
      <c r="C75" s="42" t="s">
        <v>193</v>
      </c>
      <c r="D75" s="42"/>
      <c r="E75" s="42"/>
      <c r="F75" s="43">
        <f>F76</f>
        <v>1588581</v>
      </c>
      <c r="G75" s="43">
        <f t="shared" ref="G75:H95" si="18">G76</f>
        <v>0</v>
      </c>
      <c r="H75" s="43">
        <f t="shared" si="18"/>
        <v>0</v>
      </c>
    </row>
    <row r="76" spans="1:8" s="44" customFormat="1" ht="31.5" x14ac:dyDescent="0.25">
      <c r="A76" s="40" t="s">
        <v>270</v>
      </c>
      <c r="B76" s="46" t="s">
        <v>138</v>
      </c>
      <c r="C76" s="36" t="s">
        <v>193</v>
      </c>
      <c r="D76" s="36" t="s">
        <v>139</v>
      </c>
      <c r="E76" s="36"/>
      <c r="F76" s="47">
        <f>F77</f>
        <v>1588581</v>
      </c>
      <c r="G76" s="47">
        <f t="shared" si="18"/>
        <v>0</v>
      </c>
      <c r="H76" s="47">
        <f t="shared" si="18"/>
        <v>0</v>
      </c>
    </row>
    <row r="77" spans="1:8" s="44" customFormat="1" ht="31.5" x14ac:dyDescent="0.25">
      <c r="A77" s="40" t="s">
        <v>271</v>
      </c>
      <c r="B77" s="46" t="s">
        <v>140</v>
      </c>
      <c r="C77" s="36" t="s">
        <v>193</v>
      </c>
      <c r="D77" s="36" t="s">
        <v>141</v>
      </c>
      <c r="E77" s="36"/>
      <c r="F77" s="47">
        <f>F78</f>
        <v>1588581</v>
      </c>
      <c r="G77" s="47">
        <f t="shared" si="18"/>
        <v>0</v>
      </c>
      <c r="H77" s="47">
        <f t="shared" si="18"/>
        <v>0</v>
      </c>
    </row>
    <row r="78" spans="1:8" s="44" customFormat="1" x14ac:dyDescent="0.25">
      <c r="A78" s="40" t="s">
        <v>272</v>
      </c>
      <c r="B78" s="46" t="s">
        <v>180</v>
      </c>
      <c r="C78" s="36" t="s">
        <v>193</v>
      </c>
      <c r="D78" s="36" t="s">
        <v>141</v>
      </c>
      <c r="E78" s="36" t="s">
        <v>97</v>
      </c>
      <c r="F78" s="47">
        <f>F79</f>
        <v>1588581</v>
      </c>
      <c r="G78" s="47">
        <f t="shared" si="18"/>
        <v>0</v>
      </c>
      <c r="H78" s="47">
        <f t="shared" si="18"/>
        <v>0</v>
      </c>
    </row>
    <row r="79" spans="1:8" s="44" customFormat="1" x14ac:dyDescent="0.25">
      <c r="A79" s="40" t="s">
        <v>273</v>
      </c>
      <c r="B79" s="46" t="s">
        <v>100</v>
      </c>
      <c r="C79" s="36" t="s">
        <v>193</v>
      </c>
      <c r="D79" s="36" t="s">
        <v>141</v>
      </c>
      <c r="E79" s="36" t="s">
        <v>101</v>
      </c>
      <c r="F79" s="47">
        <f>'приложение 4'!G138</f>
        <v>1588581</v>
      </c>
      <c r="G79" s="47">
        <f>'приложение 4'!H138</f>
        <v>0</v>
      </c>
      <c r="H79" s="47">
        <f>'приложение 4'!I138</f>
        <v>0</v>
      </c>
    </row>
    <row r="80" spans="1:8" s="44" customFormat="1" ht="94.5" x14ac:dyDescent="0.25">
      <c r="A80" s="40" t="s">
        <v>274</v>
      </c>
      <c r="B80" s="41" t="s">
        <v>570</v>
      </c>
      <c r="C80" s="42" t="s">
        <v>571</v>
      </c>
      <c r="D80" s="42"/>
      <c r="E80" s="42"/>
      <c r="F80" s="43">
        <f>F81</f>
        <v>112158</v>
      </c>
      <c r="G80" s="43">
        <f t="shared" si="18"/>
        <v>0</v>
      </c>
      <c r="H80" s="43">
        <f t="shared" si="18"/>
        <v>0</v>
      </c>
    </row>
    <row r="81" spans="1:8" s="44" customFormat="1" ht="31.5" x14ac:dyDescent="0.25">
      <c r="A81" s="40" t="s">
        <v>275</v>
      </c>
      <c r="B81" s="46" t="s">
        <v>138</v>
      </c>
      <c r="C81" s="36" t="s">
        <v>193</v>
      </c>
      <c r="D81" s="36" t="s">
        <v>139</v>
      </c>
      <c r="E81" s="36"/>
      <c r="F81" s="47">
        <f>F82</f>
        <v>112158</v>
      </c>
      <c r="G81" s="47">
        <f t="shared" si="18"/>
        <v>0</v>
      </c>
      <c r="H81" s="47">
        <f t="shared" si="18"/>
        <v>0</v>
      </c>
    </row>
    <row r="82" spans="1:8" s="44" customFormat="1" ht="31.5" x14ac:dyDescent="0.25">
      <c r="A82" s="40" t="s">
        <v>276</v>
      </c>
      <c r="B82" s="46" t="s">
        <v>140</v>
      </c>
      <c r="C82" s="36" t="s">
        <v>193</v>
      </c>
      <c r="D82" s="36" t="s">
        <v>141</v>
      </c>
      <c r="E82" s="36"/>
      <c r="F82" s="47">
        <f>F83</f>
        <v>112158</v>
      </c>
      <c r="G82" s="47">
        <f t="shared" si="18"/>
        <v>0</v>
      </c>
      <c r="H82" s="47">
        <f t="shared" si="18"/>
        <v>0</v>
      </c>
    </row>
    <row r="83" spans="1:8" s="44" customFormat="1" x14ac:dyDescent="0.25">
      <c r="A83" s="40" t="s">
        <v>277</v>
      </c>
      <c r="B83" s="46" t="s">
        <v>180</v>
      </c>
      <c r="C83" s="36" t="s">
        <v>193</v>
      </c>
      <c r="D83" s="36" t="s">
        <v>141</v>
      </c>
      <c r="E83" s="36" t="s">
        <v>97</v>
      </c>
      <c r="F83" s="47">
        <f>F84</f>
        <v>112158</v>
      </c>
      <c r="G83" s="47">
        <f t="shared" si="18"/>
        <v>0</v>
      </c>
      <c r="H83" s="47">
        <f t="shared" si="18"/>
        <v>0</v>
      </c>
    </row>
    <row r="84" spans="1:8" s="44" customFormat="1" x14ac:dyDescent="0.25">
      <c r="A84" s="40" t="s">
        <v>278</v>
      </c>
      <c r="B84" s="46" t="s">
        <v>100</v>
      </c>
      <c r="C84" s="36" t="s">
        <v>193</v>
      </c>
      <c r="D84" s="36" t="s">
        <v>141</v>
      </c>
      <c r="E84" s="36" t="s">
        <v>101</v>
      </c>
      <c r="F84" s="47">
        <f>'приложение 4'!G141</f>
        <v>112158</v>
      </c>
      <c r="G84" s="47">
        <f>'приложение 4'!H143</f>
        <v>0</v>
      </c>
      <c r="H84" s="47">
        <f>'приложение 4'!I143</f>
        <v>0</v>
      </c>
    </row>
    <row r="85" spans="1:8" s="44" customFormat="1" ht="94.5" x14ac:dyDescent="0.25">
      <c r="A85" s="40" t="s">
        <v>340</v>
      </c>
      <c r="B85" s="41" t="s">
        <v>572</v>
      </c>
      <c r="C85" s="42" t="s">
        <v>573</v>
      </c>
      <c r="D85" s="42"/>
      <c r="E85" s="42"/>
      <c r="F85" s="43">
        <f>F86</f>
        <v>70865</v>
      </c>
      <c r="G85" s="43">
        <f t="shared" si="18"/>
        <v>0</v>
      </c>
      <c r="H85" s="43">
        <f t="shared" si="18"/>
        <v>0</v>
      </c>
    </row>
    <row r="86" spans="1:8" s="44" customFormat="1" ht="31.5" x14ac:dyDescent="0.25">
      <c r="A86" s="40" t="s">
        <v>341</v>
      </c>
      <c r="B86" s="46" t="s">
        <v>138</v>
      </c>
      <c r="C86" s="36" t="s">
        <v>193</v>
      </c>
      <c r="D86" s="36" t="s">
        <v>139</v>
      </c>
      <c r="E86" s="36"/>
      <c r="F86" s="47">
        <f>F87</f>
        <v>70865</v>
      </c>
      <c r="G86" s="47">
        <f t="shared" si="18"/>
        <v>0</v>
      </c>
      <c r="H86" s="47">
        <f t="shared" si="18"/>
        <v>0</v>
      </c>
    </row>
    <row r="87" spans="1:8" s="44" customFormat="1" ht="31.5" x14ac:dyDescent="0.25">
      <c r="A87" s="40" t="s">
        <v>342</v>
      </c>
      <c r="B87" s="46" t="s">
        <v>140</v>
      </c>
      <c r="C87" s="36" t="s">
        <v>193</v>
      </c>
      <c r="D87" s="36" t="s">
        <v>141</v>
      </c>
      <c r="E87" s="36"/>
      <c r="F87" s="47">
        <f>F88</f>
        <v>70865</v>
      </c>
      <c r="G87" s="47">
        <f t="shared" si="18"/>
        <v>0</v>
      </c>
      <c r="H87" s="47">
        <f t="shared" si="18"/>
        <v>0</v>
      </c>
    </row>
    <row r="88" spans="1:8" s="44" customFormat="1" x14ac:dyDescent="0.25">
      <c r="A88" s="40" t="s">
        <v>343</v>
      </c>
      <c r="B88" s="46" t="s">
        <v>180</v>
      </c>
      <c r="C88" s="36" t="s">
        <v>193</v>
      </c>
      <c r="D88" s="36" t="s">
        <v>141</v>
      </c>
      <c r="E88" s="36" t="s">
        <v>97</v>
      </c>
      <c r="F88" s="47">
        <f>F89</f>
        <v>70865</v>
      </c>
      <c r="G88" s="47">
        <f t="shared" si="18"/>
        <v>0</v>
      </c>
      <c r="H88" s="47">
        <f t="shared" si="18"/>
        <v>0</v>
      </c>
    </row>
    <row r="89" spans="1:8" s="44" customFormat="1" x14ac:dyDescent="0.25">
      <c r="A89" s="40" t="s">
        <v>344</v>
      </c>
      <c r="B89" s="46" t="s">
        <v>100</v>
      </c>
      <c r="C89" s="36" t="s">
        <v>193</v>
      </c>
      <c r="D89" s="36" t="s">
        <v>141</v>
      </c>
      <c r="E89" s="36" t="s">
        <v>101</v>
      </c>
      <c r="F89" s="47">
        <f>'приложение 4'!G144</f>
        <v>70865</v>
      </c>
      <c r="G89" s="47">
        <f>'приложение 4'!H151</f>
        <v>0</v>
      </c>
      <c r="H89" s="47">
        <f>'приложение 4'!I151</f>
        <v>0</v>
      </c>
    </row>
    <row r="90" spans="1:8" s="44" customFormat="1" ht="78.75" x14ac:dyDescent="0.25">
      <c r="A90" s="40" t="s">
        <v>279</v>
      </c>
      <c r="B90" s="41" t="str">
        <f>'приложение 4'!B98</f>
        <v>Расходы на муниципальные комплексные проекты развития.  Благоустройство и поддержка жилищно-коммунального хозяйства,муниципальной программы "Социально-экономическое развитие сельсовета "</v>
      </c>
      <c r="C90" s="42" t="s">
        <v>632</v>
      </c>
      <c r="D90" s="42"/>
      <c r="E90" s="42"/>
      <c r="F90" s="43">
        <f>F91</f>
        <v>0</v>
      </c>
      <c r="G90" s="43">
        <f t="shared" si="18"/>
        <v>52030900</v>
      </c>
      <c r="H90" s="43">
        <f t="shared" si="18"/>
        <v>0</v>
      </c>
    </row>
    <row r="91" spans="1:8" s="44" customFormat="1" ht="31.5" x14ac:dyDescent="0.25">
      <c r="A91" s="40" t="s">
        <v>280</v>
      </c>
      <c r="B91" s="46" t="s">
        <v>138</v>
      </c>
      <c r="C91" s="36" t="s">
        <v>632</v>
      </c>
      <c r="D91" s="36" t="s">
        <v>139</v>
      </c>
      <c r="E91" s="36"/>
      <c r="F91" s="47">
        <f>F92</f>
        <v>0</v>
      </c>
      <c r="G91" s="47">
        <f t="shared" si="18"/>
        <v>52030900</v>
      </c>
      <c r="H91" s="47">
        <f t="shared" si="18"/>
        <v>0</v>
      </c>
    </row>
    <row r="92" spans="1:8" s="44" customFormat="1" ht="31.5" x14ac:dyDescent="0.25">
      <c r="A92" s="40" t="s">
        <v>281</v>
      </c>
      <c r="B92" s="46" t="s">
        <v>140</v>
      </c>
      <c r="C92" s="36" t="s">
        <v>632</v>
      </c>
      <c r="D92" s="36" t="s">
        <v>141</v>
      </c>
      <c r="E92" s="36"/>
      <c r="F92" s="47">
        <f>F93</f>
        <v>0</v>
      </c>
      <c r="G92" s="47">
        <f t="shared" si="18"/>
        <v>52030900</v>
      </c>
      <c r="H92" s="47">
        <f t="shared" si="18"/>
        <v>0</v>
      </c>
    </row>
    <row r="93" spans="1:8" s="44" customFormat="1" x14ac:dyDescent="0.25">
      <c r="A93" s="40" t="s">
        <v>282</v>
      </c>
      <c r="B93" s="46" t="s">
        <v>180</v>
      </c>
      <c r="C93" s="36" t="s">
        <v>632</v>
      </c>
      <c r="D93" s="36" t="s">
        <v>141</v>
      </c>
      <c r="E93" s="36" t="s">
        <v>97</v>
      </c>
      <c r="F93" s="47">
        <f>F94</f>
        <v>0</v>
      </c>
      <c r="G93" s="47">
        <f t="shared" si="18"/>
        <v>52030900</v>
      </c>
      <c r="H93" s="47">
        <f t="shared" si="18"/>
        <v>0</v>
      </c>
    </row>
    <row r="94" spans="1:8" s="44" customFormat="1" x14ac:dyDescent="0.25">
      <c r="A94" s="40" t="s">
        <v>283</v>
      </c>
      <c r="B94" s="46" t="s">
        <v>100</v>
      </c>
      <c r="C94" s="36" t="s">
        <v>632</v>
      </c>
      <c r="D94" s="36" t="s">
        <v>141</v>
      </c>
      <c r="E94" s="36" t="s">
        <v>101</v>
      </c>
      <c r="F94" s="47">
        <f>'приложение 4'!G100</f>
        <v>0</v>
      </c>
      <c r="G94" s="47">
        <f>'приложение 4'!H100</f>
        <v>52030900</v>
      </c>
      <c r="H94" s="47">
        <f>'приложение 4'!I100</f>
        <v>0</v>
      </c>
    </row>
    <row r="95" spans="1:8" s="44" customFormat="1" ht="94.5" x14ac:dyDescent="0.25">
      <c r="A95" s="40" t="s">
        <v>284</v>
      </c>
      <c r="B95" s="41" t="str">
        <f>'приложение 4'!B145</f>
        <v>Расходы на реализацию проектов по решению вопросов местного значения сельских поселений. Благоустройство и поддержка жилищно-коммунального хозяйства,муниципальной программы "Социально-экономическое развитие сельсовета "</v>
      </c>
      <c r="C95" s="42" t="s">
        <v>630</v>
      </c>
      <c r="D95" s="42"/>
      <c r="E95" s="42"/>
      <c r="F95" s="43">
        <f>F96</f>
        <v>261538</v>
      </c>
      <c r="G95" s="43">
        <f t="shared" si="18"/>
        <v>0</v>
      </c>
      <c r="H95" s="43">
        <f t="shared" si="18"/>
        <v>0</v>
      </c>
    </row>
    <row r="96" spans="1:8" s="44" customFormat="1" ht="31.5" x14ac:dyDescent="0.25">
      <c r="A96" s="40" t="s">
        <v>285</v>
      </c>
      <c r="B96" s="46" t="s">
        <v>138</v>
      </c>
      <c r="C96" s="36" t="s">
        <v>630</v>
      </c>
      <c r="D96" s="36" t="s">
        <v>139</v>
      </c>
      <c r="E96" s="36"/>
      <c r="F96" s="47">
        <f>F97</f>
        <v>261538</v>
      </c>
      <c r="G96" s="47">
        <f t="shared" ref="G96:H98" si="19">G97</f>
        <v>0</v>
      </c>
      <c r="H96" s="47">
        <f t="shared" si="19"/>
        <v>0</v>
      </c>
    </row>
    <row r="97" spans="1:8" s="44" customFormat="1" ht="31.5" x14ac:dyDescent="0.25">
      <c r="A97" s="40" t="s">
        <v>286</v>
      </c>
      <c r="B97" s="46" t="s">
        <v>140</v>
      </c>
      <c r="C97" s="36" t="s">
        <v>630</v>
      </c>
      <c r="D97" s="36" t="s">
        <v>141</v>
      </c>
      <c r="E97" s="36"/>
      <c r="F97" s="47">
        <f>F98</f>
        <v>261538</v>
      </c>
      <c r="G97" s="47">
        <f t="shared" si="19"/>
        <v>0</v>
      </c>
      <c r="H97" s="47">
        <f t="shared" si="19"/>
        <v>0</v>
      </c>
    </row>
    <row r="98" spans="1:8" s="44" customFormat="1" x14ac:dyDescent="0.25">
      <c r="A98" s="40" t="s">
        <v>287</v>
      </c>
      <c r="B98" s="46" t="s">
        <v>180</v>
      </c>
      <c r="C98" s="36" t="s">
        <v>630</v>
      </c>
      <c r="D98" s="36" t="s">
        <v>141</v>
      </c>
      <c r="E98" s="36" t="s">
        <v>97</v>
      </c>
      <c r="F98" s="47">
        <f>F99</f>
        <v>261538</v>
      </c>
      <c r="G98" s="47">
        <f t="shared" si="19"/>
        <v>0</v>
      </c>
      <c r="H98" s="47">
        <f t="shared" si="19"/>
        <v>0</v>
      </c>
    </row>
    <row r="99" spans="1:8" s="44" customFormat="1" x14ac:dyDescent="0.25">
      <c r="A99" s="40" t="s">
        <v>288</v>
      </c>
      <c r="B99" s="46" t="s">
        <v>100</v>
      </c>
      <c r="C99" s="36" t="s">
        <v>630</v>
      </c>
      <c r="D99" s="36" t="s">
        <v>141</v>
      </c>
      <c r="E99" s="36" t="s">
        <v>101</v>
      </c>
      <c r="F99" s="47">
        <f>'приложение 4'!G147</f>
        <v>261538</v>
      </c>
      <c r="G99" s="47">
        <f>'приложение 4'!H147</f>
        <v>0</v>
      </c>
      <c r="H99" s="47">
        <f>'приложение 4'!I147</f>
        <v>0</v>
      </c>
    </row>
    <row r="100" spans="1:8" s="44" customFormat="1" ht="31.5" x14ac:dyDescent="0.25">
      <c r="A100" s="40" t="s">
        <v>289</v>
      </c>
      <c r="B100" s="41" t="s">
        <v>308</v>
      </c>
      <c r="C100" s="42" t="s">
        <v>197</v>
      </c>
      <c r="D100" s="42"/>
      <c r="E100" s="42"/>
      <c r="F100" s="43">
        <f>F106+F101</f>
        <v>176400</v>
      </c>
      <c r="G100" s="43">
        <f t="shared" ref="G100:H100" si="20">G106+G101</f>
        <v>0</v>
      </c>
      <c r="H100" s="43">
        <f t="shared" si="20"/>
        <v>0</v>
      </c>
    </row>
    <row r="101" spans="1:8" s="44" customFormat="1" ht="78.75" x14ac:dyDescent="0.25">
      <c r="A101" s="40" t="s">
        <v>290</v>
      </c>
      <c r="B101" s="41" t="s">
        <v>198</v>
      </c>
      <c r="C101" s="42" t="s">
        <v>199</v>
      </c>
      <c r="D101" s="42"/>
      <c r="E101" s="42"/>
      <c r="F101" s="43">
        <f t="shared" ref="F101:H104" si="21">F102</f>
        <v>76400</v>
      </c>
      <c r="G101" s="43">
        <f t="shared" si="21"/>
        <v>0</v>
      </c>
      <c r="H101" s="43">
        <f t="shared" si="21"/>
        <v>0</v>
      </c>
    </row>
    <row r="102" spans="1:8" s="44" customFormat="1" ht="31.5" x14ac:dyDescent="0.25">
      <c r="A102" s="40" t="s">
        <v>291</v>
      </c>
      <c r="B102" s="46" t="s">
        <v>138</v>
      </c>
      <c r="C102" s="36" t="s">
        <v>199</v>
      </c>
      <c r="D102" s="36" t="s">
        <v>139</v>
      </c>
      <c r="E102" s="36"/>
      <c r="F102" s="47">
        <f t="shared" si="21"/>
        <v>76400</v>
      </c>
      <c r="G102" s="47">
        <f t="shared" si="21"/>
        <v>0</v>
      </c>
      <c r="H102" s="47">
        <f t="shared" si="21"/>
        <v>0</v>
      </c>
    </row>
    <row r="103" spans="1:8" s="44" customFormat="1" ht="31.5" x14ac:dyDescent="0.25">
      <c r="A103" s="40" t="s">
        <v>292</v>
      </c>
      <c r="B103" s="46" t="s">
        <v>140</v>
      </c>
      <c r="C103" s="36" t="s">
        <v>199</v>
      </c>
      <c r="D103" s="36" t="s">
        <v>141</v>
      </c>
      <c r="E103" s="36"/>
      <c r="F103" s="47">
        <f t="shared" si="21"/>
        <v>76400</v>
      </c>
      <c r="G103" s="47">
        <f t="shared" si="21"/>
        <v>0</v>
      </c>
      <c r="H103" s="47">
        <f t="shared" si="21"/>
        <v>0</v>
      </c>
    </row>
    <row r="104" spans="1:8" s="44" customFormat="1" x14ac:dyDescent="0.25">
      <c r="A104" s="40" t="s">
        <v>293</v>
      </c>
      <c r="B104" s="46" t="s">
        <v>194</v>
      </c>
      <c r="C104" s="36" t="s">
        <v>199</v>
      </c>
      <c r="D104" s="36" t="s">
        <v>141</v>
      </c>
      <c r="E104" s="36" t="s">
        <v>103</v>
      </c>
      <c r="F104" s="47">
        <f t="shared" si="21"/>
        <v>76400</v>
      </c>
      <c r="G104" s="47">
        <f t="shared" si="21"/>
        <v>0</v>
      </c>
      <c r="H104" s="47">
        <f t="shared" si="21"/>
        <v>0</v>
      </c>
    </row>
    <row r="105" spans="1:8" s="44" customFormat="1" x14ac:dyDescent="0.25">
      <c r="A105" s="40" t="s">
        <v>294</v>
      </c>
      <c r="B105" s="46" t="s">
        <v>314</v>
      </c>
      <c r="C105" s="36" t="s">
        <v>199</v>
      </c>
      <c r="D105" s="36" t="s">
        <v>141</v>
      </c>
      <c r="E105" s="36" t="s">
        <v>105</v>
      </c>
      <c r="F105" s="47">
        <f>'приложение 4'!G162</f>
        <v>76400</v>
      </c>
      <c r="G105" s="47">
        <f>'приложение 4'!H162</f>
        <v>0</v>
      </c>
      <c r="H105" s="47">
        <f>'приложение 4'!I162</f>
        <v>0</v>
      </c>
    </row>
    <row r="106" spans="1:8" s="44" customFormat="1" ht="63" x14ac:dyDescent="0.25">
      <c r="A106" s="40" t="s">
        <v>295</v>
      </c>
      <c r="B106" s="41" t="s">
        <v>202</v>
      </c>
      <c r="C106" s="42" t="s">
        <v>203</v>
      </c>
      <c r="D106" s="42"/>
      <c r="E106" s="42"/>
      <c r="F106" s="43">
        <f>F107</f>
        <v>100000</v>
      </c>
      <c r="G106" s="43">
        <f t="shared" ref="G106:H109" si="22">G107</f>
        <v>0</v>
      </c>
      <c r="H106" s="43">
        <f t="shared" si="22"/>
        <v>0</v>
      </c>
    </row>
    <row r="107" spans="1:8" s="44" customFormat="1" ht="31.5" x14ac:dyDescent="0.25">
      <c r="A107" s="40" t="s">
        <v>296</v>
      </c>
      <c r="B107" s="46" t="s">
        <v>138</v>
      </c>
      <c r="C107" s="36" t="s">
        <v>203</v>
      </c>
      <c r="D107" s="36" t="s">
        <v>139</v>
      </c>
      <c r="E107" s="36"/>
      <c r="F107" s="47">
        <f>F108</f>
        <v>100000</v>
      </c>
      <c r="G107" s="47">
        <f t="shared" si="22"/>
        <v>0</v>
      </c>
      <c r="H107" s="47">
        <f t="shared" si="22"/>
        <v>0</v>
      </c>
    </row>
    <row r="108" spans="1:8" s="44" customFormat="1" ht="31.5" x14ac:dyDescent="0.25">
      <c r="A108" s="40" t="s">
        <v>297</v>
      </c>
      <c r="B108" s="46" t="s">
        <v>140</v>
      </c>
      <c r="C108" s="36" t="s">
        <v>203</v>
      </c>
      <c r="D108" s="36" t="s">
        <v>141</v>
      </c>
      <c r="E108" s="36"/>
      <c r="F108" s="47">
        <f>F109</f>
        <v>100000</v>
      </c>
      <c r="G108" s="47">
        <f t="shared" si="22"/>
        <v>0</v>
      </c>
      <c r="H108" s="47">
        <f t="shared" si="22"/>
        <v>0</v>
      </c>
    </row>
    <row r="109" spans="1:8" s="44" customFormat="1" x14ac:dyDescent="0.25">
      <c r="A109" s="40" t="s">
        <v>128</v>
      </c>
      <c r="B109" s="46" t="s">
        <v>200</v>
      </c>
      <c r="C109" s="36" t="s">
        <v>203</v>
      </c>
      <c r="D109" s="36" t="s">
        <v>141</v>
      </c>
      <c r="E109" s="36" t="s">
        <v>107</v>
      </c>
      <c r="F109" s="47">
        <f>F110</f>
        <v>100000</v>
      </c>
      <c r="G109" s="47">
        <f t="shared" si="22"/>
        <v>0</v>
      </c>
      <c r="H109" s="47">
        <f t="shared" si="22"/>
        <v>0</v>
      </c>
    </row>
    <row r="110" spans="1:8" s="44" customFormat="1" x14ac:dyDescent="0.25">
      <c r="A110" s="40" t="s">
        <v>298</v>
      </c>
      <c r="B110" s="46" t="s">
        <v>201</v>
      </c>
      <c r="C110" s="36" t="s">
        <v>203</v>
      </c>
      <c r="D110" s="36" t="s">
        <v>141</v>
      </c>
      <c r="E110" s="36" t="s">
        <v>109</v>
      </c>
      <c r="F110" s="47">
        <f>'приложение 4'!G169</f>
        <v>100000</v>
      </c>
      <c r="G110" s="47">
        <f>'приложение 4'!H169</f>
        <v>0</v>
      </c>
      <c r="H110" s="47">
        <f>'приложение 4'!I169</f>
        <v>0</v>
      </c>
    </row>
    <row r="111" spans="1:8" s="44" customFormat="1" ht="31.5" x14ac:dyDescent="0.25">
      <c r="A111" s="40" t="s">
        <v>299</v>
      </c>
      <c r="B111" s="41" t="s">
        <v>176</v>
      </c>
      <c r="C111" s="42" t="s">
        <v>177</v>
      </c>
      <c r="D111" s="42"/>
      <c r="E111" s="42"/>
      <c r="F111" s="43">
        <f>F112+F117</f>
        <v>860291</v>
      </c>
      <c r="G111" s="43">
        <f t="shared" ref="G111:H111" si="23">G112+G117</f>
        <v>820291</v>
      </c>
      <c r="H111" s="43">
        <f t="shared" si="23"/>
        <v>820291</v>
      </c>
    </row>
    <row r="112" spans="1:8" s="44" customFormat="1" ht="126" x14ac:dyDescent="0.25">
      <c r="A112" s="40" t="s">
        <v>300</v>
      </c>
      <c r="B112" s="41" t="s">
        <v>204</v>
      </c>
      <c r="C112" s="42" t="s">
        <v>205</v>
      </c>
      <c r="D112" s="42"/>
      <c r="E112" s="42"/>
      <c r="F112" s="43">
        <f>F113</f>
        <v>820291</v>
      </c>
      <c r="G112" s="43">
        <f t="shared" ref="G112:H115" si="24">G113</f>
        <v>820291</v>
      </c>
      <c r="H112" s="43">
        <f t="shared" si="24"/>
        <v>820291</v>
      </c>
    </row>
    <row r="113" spans="1:8" s="44" customFormat="1" x14ac:dyDescent="0.25">
      <c r="A113" s="40" t="s">
        <v>301</v>
      </c>
      <c r="B113" s="46" t="s">
        <v>206</v>
      </c>
      <c r="C113" s="36" t="s">
        <v>205</v>
      </c>
      <c r="D113" s="36" t="s">
        <v>207</v>
      </c>
      <c r="E113" s="36"/>
      <c r="F113" s="47">
        <f>F114</f>
        <v>820291</v>
      </c>
      <c r="G113" s="47">
        <f t="shared" si="24"/>
        <v>820291</v>
      </c>
      <c r="H113" s="47">
        <f t="shared" si="24"/>
        <v>820291</v>
      </c>
    </row>
    <row r="114" spans="1:8" s="44" customFormat="1" x14ac:dyDescent="0.25">
      <c r="A114" s="40" t="s">
        <v>302</v>
      </c>
      <c r="B114" s="51" t="s">
        <v>208</v>
      </c>
      <c r="C114" s="36" t="s">
        <v>205</v>
      </c>
      <c r="D114" s="36" t="s">
        <v>209</v>
      </c>
      <c r="E114" s="36"/>
      <c r="F114" s="47">
        <f>F115</f>
        <v>820291</v>
      </c>
      <c r="G114" s="47">
        <f t="shared" si="24"/>
        <v>820291</v>
      </c>
      <c r="H114" s="47">
        <f t="shared" si="24"/>
        <v>820291</v>
      </c>
    </row>
    <row r="115" spans="1:8" s="44" customFormat="1" ht="47.25" x14ac:dyDescent="0.25">
      <c r="A115" s="40" t="s">
        <v>303</v>
      </c>
      <c r="B115" s="46" t="s">
        <v>477</v>
      </c>
      <c r="C115" s="36" t="s">
        <v>205</v>
      </c>
      <c r="D115" s="36" t="s">
        <v>209</v>
      </c>
      <c r="E115" s="36" t="s">
        <v>110</v>
      </c>
      <c r="F115" s="47">
        <f>F116</f>
        <v>820291</v>
      </c>
      <c r="G115" s="47">
        <f t="shared" si="24"/>
        <v>820291</v>
      </c>
      <c r="H115" s="47">
        <f t="shared" si="24"/>
        <v>820291</v>
      </c>
    </row>
    <row r="116" spans="1:8" s="44" customFormat="1" x14ac:dyDescent="0.25">
      <c r="A116" s="40" t="s">
        <v>304</v>
      </c>
      <c r="B116" s="46" t="s">
        <v>111</v>
      </c>
      <c r="C116" s="36" t="s">
        <v>205</v>
      </c>
      <c r="D116" s="36" t="s">
        <v>209</v>
      </c>
      <c r="E116" s="36" t="s">
        <v>112</v>
      </c>
      <c r="F116" s="47">
        <f>'приложение 4'!G176</f>
        <v>820291</v>
      </c>
      <c r="G116" s="47">
        <f>'приложение 4'!H176</f>
        <v>820291</v>
      </c>
      <c r="H116" s="47">
        <f>'приложение 4'!I176</f>
        <v>820291</v>
      </c>
    </row>
    <row r="117" spans="1:8" s="44" customFormat="1" ht="94.5" x14ac:dyDescent="0.25">
      <c r="A117" s="40" t="s">
        <v>305</v>
      </c>
      <c r="B117" s="41" t="s">
        <v>178</v>
      </c>
      <c r="C117" s="42" t="s">
        <v>179</v>
      </c>
      <c r="D117" s="42"/>
      <c r="E117" s="42"/>
      <c r="F117" s="43">
        <f>F118</f>
        <v>40000</v>
      </c>
      <c r="G117" s="43">
        <f t="shared" ref="G117:H120" si="25">G118</f>
        <v>0</v>
      </c>
      <c r="H117" s="43">
        <f t="shared" si="25"/>
        <v>0</v>
      </c>
    </row>
    <row r="118" spans="1:8" s="44" customFormat="1" ht="31.5" x14ac:dyDescent="0.25">
      <c r="A118" s="40" t="s">
        <v>306</v>
      </c>
      <c r="B118" s="46" t="s">
        <v>138</v>
      </c>
      <c r="C118" s="36" t="s">
        <v>179</v>
      </c>
      <c r="D118" s="36" t="s">
        <v>139</v>
      </c>
      <c r="E118" s="36"/>
      <c r="F118" s="47">
        <f>F119</f>
        <v>40000</v>
      </c>
      <c r="G118" s="47">
        <f t="shared" si="25"/>
        <v>0</v>
      </c>
      <c r="H118" s="47">
        <f t="shared" si="25"/>
        <v>0</v>
      </c>
    </row>
    <row r="119" spans="1:8" s="44" customFormat="1" ht="31.5" x14ac:dyDescent="0.25">
      <c r="A119" s="40" t="s">
        <v>183</v>
      </c>
      <c r="B119" s="46" t="s">
        <v>140</v>
      </c>
      <c r="C119" s="36" t="s">
        <v>179</v>
      </c>
      <c r="D119" s="36" t="s">
        <v>141</v>
      </c>
      <c r="E119" s="36"/>
      <c r="F119" s="47">
        <f>F120</f>
        <v>40000</v>
      </c>
      <c r="G119" s="47">
        <f t="shared" si="25"/>
        <v>0</v>
      </c>
      <c r="H119" s="47">
        <f t="shared" si="25"/>
        <v>0</v>
      </c>
    </row>
    <row r="120" spans="1:8" s="44" customFormat="1" x14ac:dyDescent="0.25">
      <c r="A120" s="40" t="s">
        <v>307</v>
      </c>
      <c r="B120" s="46" t="s">
        <v>169</v>
      </c>
      <c r="C120" s="36" t="s">
        <v>179</v>
      </c>
      <c r="D120" s="36" t="s">
        <v>141</v>
      </c>
      <c r="E120" s="36" t="s">
        <v>91</v>
      </c>
      <c r="F120" s="47">
        <f>F121</f>
        <v>40000</v>
      </c>
      <c r="G120" s="47">
        <f t="shared" si="25"/>
        <v>0</v>
      </c>
      <c r="H120" s="47">
        <f t="shared" si="25"/>
        <v>0</v>
      </c>
    </row>
    <row r="121" spans="1:8" s="44" customFormat="1" x14ac:dyDescent="0.25">
      <c r="A121" s="40" t="s">
        <v>309</v>
      </c>
      <c r="B121" s="46" t="s">
        <v>94</v>
      </c>
      <c r="C121" s="36" t="s">
        <v>179</v>
      </c>
      <c r="D121" s="36" t="s">
        <v>141</v>
      </c>
      <c r="E121" s="36" t="s">
        <v>95</v>
      </c>
      <c r="F121" s="47">
        <f>'приложение 4'!G106</f>
        <v>40000</v>
      </c>
      <c r="G121" s="47">
        <f>'приложение 4'!H106</f>
        <v>0</v>
      </c>
      <c r="H121" s="47">
        <f>'приложение 4'!I106</f>
        <v>0</v>
      </c>
    </row>
    <row r="122" spans="1:8" s="48" customFormat="1" ht="31.5" x14ac:dyDescent="0.25">
      <c r="A122" s="40" t="s">
        <v>310</v>
      </c>
      <c r="B122" s="41" t="str">
        <f>'приложение 4'!B148</f>
        <v>Программа "Формирование комфортной городской (сельской) среды"</v>
      </c>
      <c r="C122" s="42" t="s">
        <v>575</v>
      </c>
      <c r="D122" s="42"/>
      <c r="E122" s="42"/>
      <c r="F122" s="43">
        <f t="shared" ref="F122:H132" si="26">F123</f>
        <v>1093758</v>
      </c>
      <c r="G122" s="43">
        <f t="shared" si="26"/>
        <v>0</v>
      </c>
      <c r="H122" s="43">
        <f t="shared" si="26"/>
        <v>0</v>
      </c>
    </row>
    <row r="123" spans="1:8" s="48" customFormat="1" ht="47.25" x14ac:dyDescent="0.25">
      <c r="A123" s="40" t="s">
        <v>311</v>
      </c>
      <c r="B123" s="41" t="str">
        <f>'приложение 4'!B149</f>
        <v>Подпрограмма "Благоустройство дворовых и общественных территорий муниципальных образований"</v>
      </c>
      <c r="C123" s="42" t="s">
        <v>577</v>
      </c>
      <c r="D123" s="42"/>
      <c r="E123" s="42"/>
      <c r="F123" s="43">
        <f>F124+F129</f>
        <v>1093758</v>
      </c>
      <c r="G123" s="43">
        <f>G124+G129</f>
        <v>0</v>
      </c>
      <c r="H123" s="43">
        <f>H124+H129</f>
        <v>0</v>
      </c>
    </row>
    <row r="124" spans="1:8" s="48" customFormat="1" ht="94.5" x14ac:dyDescent="0.25">
      <c r="A124" s="40" t="s">
        <v>312</v>
      </c>
      <c r="B124" s="50" t="s">
        <v>580</v>
      </c>
      <c r="C124" s="42" t="s">
        <v>578</v>
      </c>
      <c r="D124" s="45"/>
      <c r="E124" s="45"/>
      <c r="F124" s="43">
        <f>F125</f>
        <v>1071882</v>
      </c>
      <c r="G124" s="43">
        <f t="shared" si="26"/>
        <v>0</v>
      </c>
      <c r="H124" s="43">
        <f t="shared" si="26"/>
        <v>0</v>
      </c>
    </row>
    <row r="125" spans="1:8" s="48" customFormat="1" ht="31.5" x14ac:dyDescent="0.25">
      <c r="A125" s="40" t="s">
        <v>313</v>
      </c>
      <c r="B125" s="46" t="s">
        <v>138</v>
      </c>
      <c r="C125" s="36" t="s">
        <v>578</v>
      </c>
      <c r="D125" s="36" t="s">
        <v>139</v>
      </c>
      <c r="E125" s="36"/>
      <c r="F125" s="47">
        <f>F126</f>
        <v>1071882</v>
      </c>
      <c r="G125" s="47">
        <f t="shared" si="26"/>
        <v>0</v>
      </c>
      <c r="H125" s="47">
        <f t="shared" si="26"/>
        <v>0</v>
      </c>
    </row>
    <row r="126" spans="1:8" s="48" customFormat="1" ht="31.5" x14ac:dyDescent="0.25">
      <c r="A126" s="40" t="s">
        <v>315</v>
      </c>
      <c r="B126" s="46" t="s">
        <v>140</v>
      </c>
      <c r="C126" s="36" t="s">
        <v>578</v>
      </c>
      <c r="D126" s="36" t="s">
        <v>141</v>
      </c>
      <c r="E126" s="36"/>
      <c r="F126" s="47">
        <f>F127</f>
        <v>1071882</v>
      </c>
      <c r="G126" s="47">
        <f t="shared" si="26"/>
        <v>0</v>
      </c>
      <c r="H126" s="47">
        <f t="shared" si="26"/>
        <v>0</v>
      </c>
    </row>
    <row r="127" spans="1:8" s="48" customFormat="1" x14ac:dyDescent="0.25">
      <c r="A127" s="40" t="s">
        <v>316</v>
      </c>
      <c r="B127" s="46" t="s">
        <v>180</v>
      </c>
      <c r="C127" s="36" t="s">
        <v>578</v>
      </c>
      <c r="D127" s="36" t="s">
        <v>141</v>
      </c>
      <c r="E127" s="36" t="s">
        <v>97</v>
      </c>
      <c r="F127" s="47">
        <f>F128</f>
        <v>1071882</v>
      </c>
      <c r="G127" s="47">
        <f t="shared" si="26"/>
        <v>0</v>
      </c>
      <c r="H127" s="47">
        <f t="shared" si="26"/>
        <v>0</v>
      </c>
    </row>
    <row r="128" spans="1:8" s="48" customFormat="1" x14ac:dyDescent="0.25">
      <c r="A128" s="40" t="s">
        <v>317</v>
      </c>
      <c r="B128" s="46" t="s">
        <v>100</v>
      </c>
      <c r="C128" s="36" t="s">
        <v>578</v>
      </c>
      <c r="D128" s="36" t="s">
        <v>141</v>
      </c>
      <c r="E128" s="36" t="s">
        <v>101</v>
      </c>
      <c r="F128" s="47">
        <f>'приложение 4'!G152</f>
        <v>1071882</v>
      </c>
      <c r="G128" s="47">
        <f>'приложение 4'!H152</f>
        <v>0</v>
      </c>
      <c r="H128" s="47">
        <f>'приложение 4'!I152</f>
        <v>0</v>
      </c>
    </row>
    <row r="129" spans="1:8" s="48" customFormat="1" ht="94.5" x14ac:dyDescent="0.25">
      <c r="A129" s="40" t="s">
        <v>130</v>
      </c>
      <c r="B129" s="50" t="s">
        <v>581</v>
      </c>
      <c r="C129" s="42" t="s">
        <v>579</v>
      </c>
      <c r="D129" s="45"/>
      <c r="E129" s="45"/>
      <c r="F129" s="43">
        <f>F130</f>
        <v>21876</v>
      </c>
      <c r="G129" s="43">
        <f t="shared" si="26"/>
        <v>0</v>
      </c>
      <c r="H129" s="43">
        <f t="shared" si="26"/>
        <v>0</v>
      </c>
    </row>
    <row r="130" spans="1:8" s="48" customFormat="1" ht="31.5" x14ac:dyDescent="0.25">
      <c r="A130" s="40" t="s">
        <v>318</v>
      </c>
      <c r="B130" s="46" t="s">
        <v>138</v>
      </c>
      <c r="C130" s="36" t="s">
        <v>579</v>
      </c>
      <c r="D130" s="36" t="s">
        <v>139</v>
      </c>
      <c r="E130" s="36"/>
      <c r="F130" s="47">
        <f>F131</f>
        <v>21876</v>
      </c>
      <c r="G130" s="47">
        <f t="shared" si="26"/>
        <v>0</v>
      </c>
      <c r="H130" s="47">
        <f t="shared" si="26"/>
        <v>0</v>
      </c>
    </row>
    <row r="131" spans="1:8" s="48" customFormat="1" ht="31.5" x14ac:dyDescent="0.25">
      <c r="A131" s="40" t="s">
        <v>319</v>
      </c>
      <c r="B131" s="46" t="s">
        <v>140</v>
      </c>
      <c r="C131" s="36" t="s">
        <v>579</v>
      </c>
      <c r="D131" s="36" t="s">
        <v>141</v>
      </c>
      <c r="E131" s="36"/>
      <c r="F131" s="47">
        <f>F132</f>
        <v>21876</v>
      </c>
      <c r="G131" s="47">
        <f t="shared" si="26"/>
        <v>0</v>
      </c>
      <c r="H131" s="47">
        <f t="shared" si="26"/>
        <v>0</v>
      </c>
    </row>
    <row r="132" spans="1:8" s="48" customFormat="1" x14ac:dyDescent="0.25">
      <c r="A132" s="40" t="s">
        <v>320</v>
      </c>
      <c r="B132" s="46" t="s">
        <v>180</v>
      </c>
      <c r="C132" s="36" t="s">
        <v>579</v>
      </c>
      <c r="D132" s="36" t="s">
        <v>141</v>
      </c>
      <c r="E132" s="36" t="s">
        <v>97</v>
      </c>
      <c r="F132" s="47">
        <f>F133</f>
        <v>21876</v>
      </c>
      <c r="G132" s="47">
        <f t="shared" si="26"/>
        <v>0</v>
      </c>
      <c r="H132" s="47">
        <f t="shared" si="26"/>
        <v>0</v>
      </c>
    </row>
    <row r="133" spans="1:8" s="48" customFormat="1" x14ac:dyDescent="0.25">
      <c r="A133" s="40" t="s">
        <v>321</v>
      </c>
      <c r="B133" s="46" t="s">
        <v>100</v>
      </c>
      <c r="C133" s="36" t="s">
        <v>579</v>
      </c>
      <c r="D133" s="36" t="s">
        <v>141</v>
      </c>
      <c r="E133" s="36" t="s">
        <v>101</v>
      </c>
      <c r="F133" s="47">
        <f>'приложение 4'!G155</f>
        <v>21876</v>
      </c>
      <c r="G133" s="47">
        <f>'приложение 4'!H155</f>
        <v>0</v>
      </c>
      <c r="H133" s="47">
        <f>'приложение 4'!I155</f>
        <v>0</v>
      </c>
    </row>
    <row r="134" spans="1:8" s="44" customFormat="1" x14ac:dyDescent="0.25">
      <c r="A134" s="40" t="s">
        <v>322</v>
      </c>
      <c r="B134" s="41" t="s">
        <v>121</v>
      </c>
      <c r="C134" s="42" t="s">
        <v>122</v>
      </c>
      <c r="D134" s="42"/>
      <c r="E134" s="42"/>
      <c r="F134" s="43">
        <f>F141+F135+F175+F181</f>
        <v>5227263.57</v>
      </c>
      <c r="G134" s="43">
        <f>G141+G135+G175+G181</f>
        <v>4384737</v>
      </c>
      <c r="H134" s="43">
        <f>H141+H135+H175+H181</f>
        <v>4346681</v>
      </c>
    </row>
    <row r="135" spans="1:8" s="44" customFormat="1" ht="63" x14ac:dyDescent="0.25">
      <c r="A135" s="40" t="s">
        <v>323</v>
      </c>
      <c r="B135" s="41" t="s">
        <v>132</v>
      </c>
      <c r="C135" s="42" t="s">
        <v>133</v>
      </c>
      <c r="D135" s="42"/>
      <c r="E135" s="42"/>
      <c r="F135" s="43">
        <f>F136</f>
        <v>5000</v>
      </c>
      <c r="G135" s="43">
        <f t="shared" ref="G135:H138" si="27">G136</f>
        <v>0</v>
      </c>
      <c r="H135" s="43">
        <f t="shared" si="27"/>
        <v>0</v>
      </c>
    </row>
    <row r="136" spans="1:8" s="44" customFormat="1" ht="47.25" x14ac:dyDescent="0.25">
      <c r="A136" s="40" t="s">
        <v>324</v>
      </c>
      <c r="B136" s="41" t="s">
        <v>134</v>
      </c>
      <c r="C136" s="36" t="s">
        <v>135</v>
      </c>
      <c r="D136" s="36"/>
      <c r="E136" s="36"/>
      <c r="F136" s="47">
        <f>F137</f>
        <v>5000</v>
      </c>
      <c r="G136" s="47">
        <f t="shared" si="27"/>
        <v>0</v>
      </c>
      <c r="H136" s="47">
        <f t="shared" si="27"/>
        <v>0</v>
      </c>
    </row>
    <row r="137" spans="1:8" s="44" customFormat="1" ht="78.75" x14ac:dyDescent="0.25">
      <c r="A137" s="40" t="s">
        <v>325</v>
      </c>
      <c r="B137" s="46" t="s">
        <v>127</v>
      </c>
      <c r="C137" s="36" t="s">
        <v>135</v>
      </c>
      <c r="D137" s="36" t="s">
        <v>128</v>
      </c>
      <c r="E137" s="36"/>
      <c r="F137" s="47">
        <f>F138</f>
        <v>5000</v>
      </c>
      <c r="G137" s="47">
        <f t="shared" si="27"/>
        <v>0</v>
      </c>
      <c r="H137" s="47">
        <f t="shared" si="27"/>
        <v>0</v>
      </c>
    </row>
    <row r="138" spans="1:8" s="44" customFormat="1" ht="31.5" x14ac:dyDescent="0.25">
      <c r="A138" s="40" t="s">
        <v>326</v>
      </c>
      <c r="B138" s="46" t="s">
        <v>129</v>
      </c>
      <c r="C138" s="36" t="s">
        <v>135</v>
      </c>
      <c r="D138" s="36" t="s">
        <v>130</v>
      </c>
      <c r="E138" s="36"/>
      <c r="F138" s="47">
        <f>F139</f>
        <v>5000</v>
      </c>
      <c r="G138" s="47">
        <f t="shared" si="27"/>
        <v>0</v>
      </c>
      <c r="H138" s="47">
        <f t="shared" si="27"/>
        <v>0</v>
      </c>
    </row>
    <row r="139" spans="1:8" s="44" customFormat="1" x14ac:dyDescent="0.25">
      <c r="A139" s="40" t="s">
        <v>327</v>
      </c>
      <c r="B139" s="46" t="s">
        <v>360</v>
      </c>
      <c r="C139" s="36" t="s">
        <v>135</v>
      </c>
      <c r="D139" s="36" t="s">
        <v>130</v>
      </c>
      <c r="E139" s="36" t="s">
        <v>72</v>
      </c>
      <c r="F139" s="47">
        <f>F140</f>
        <v>5000</v>
      </c>
      <c r="G139" s="47">
        <f>G140</f>
        <v>0</v>
      </c>
      <c r="H139" s="47">
        <f>H140</f>
        <v>0</v>
      </c>
    </row>
    <row r="140" spans="1:8" s="44" customFormat="1" ht="47.25" x14ac:dyDescent="0.25">
      <c r="A140" s="40" t="s">
        <v>328</v>
      </c>
      <c r="B140" s="46" t="s">
        <v>131</v>
      </c>
      <c r="C140" s="36" t="s">
        <v>135</v>
      </c>
      <c r="D140" s="36" t="s">
        <v>130</v>
      </c>
      <c r="E140" s="36" t="s">
        <v>76</v>
      </c>
      <c r="F140" s="47">
        <f>'приложение 4'!G24</f>
        <v>5000</v>
      </c>
      <c r="G140" s="47">
        <f>'приложение 4'!H24</f>
        <v>0</v>
      </c>
      <c r="H140" s="47">
        <f>'приложение 4'!I24</f>
        <v>0</v>
      </c>
    </row>
    <row r="141" spans="1:8" s="44" customFormat="1" ht="31.5" x14ac:dyDescent="0.25">
      <c r="A141" s="40" t="s">
        <v>329</v>
      </c>
      <c r="B141" s="41" t="s">
        <v>123</v>
      </c>
      <c r="C141" s="42" t="s">
        <v>124</v>
      </c>
      <c r="D141" s="42"/>
      <c r="E141" s="42"/>
      <c r="F141" s="43">
        <f>F160+F142+F155+F165+F170</f>
        <v>4762698.57</v>
      </c>
      <c r="G141" s="43">
        <f t="shared" ref="G141:H141" si="28">G160+G142+G155+G165+G170</f>
        <v>3947106</v>
      </c>
      <c r="H141" s="43">
        <f t="shared" si="28"/>
        <v>3892207</v>
      </c>
    </row>
    <row r="142" spans="1:8" s="48" customFormat="1" ht="47.25" x14ac:dyDescent="0.25">
      <c r="A142" s="40" t="s">
        <v>330</v>
      </c>
      <c r="B142" s="41" t="s">
        <v>136</v>
      </c>
      <c r="C142" s="42" t="s">
        <v>137</v>
      </c>
      <c r="D142" s="42"/>
      <c r="E142" s="42"/>
      <c r="F142" s="43">
        <f>F143+F147+F152</f>
        <v>2199432.5699999998</v>
      </c>
      <c r="G142" s="43">
        <f>G143+G147</f>
        <v>1598601</v>
      </c>
      <c r="H142" s="43">
        <f>H143+H147</f>
        <v>1543702</v>
      </c>
    </row>
    <row r="143" spans="1:8" s="44" customFormat="1" ht="78.75" x14ac:dyDescent="0.25">
      <c r="A143" s="40" t="s">
        <v>331</v>
      </c>
      <c r="B143" s="46" t="s">
        <v>127</v>
      </c>
      <c r="C143" s="36" t="s">
        <v>137</v>
      </c>
      <c r="D143" s="36" t="s">
        <v>128</v>
      </c>
      <c r="E143" s="36"/>
      <c r="F143" s="47">
        <f>F144</f>
        <v>1183154</v>
      </c>
      <c r="G143" s="47">
        <f t="shared" ref="G143:H145" si="29">G144</f>
        <v>1119300</v>
      </c>
      <c r="H143" s="47">
        <f t="shared" si="29"/>
        <v>1119300</v>
      </c>
    </row>
    <row r="144" spans="1:8" s="44" customFormat="1" ht="31.5" x14ac:dyDescent="0.25">
      <c r="A144" s="40" t="s">
        <v>332</v>
      </c>
      <c r="B144" s="46" t="s">
        <v>129</v>
      </c>
      <c r="C144" s="36" t="s">
        <v>137</v>
      </c>
      <c r="D144" s="36" t="s">
        <v>130</v>
      </c>
      <c r="E144" s="36"/>
      <c r="F144" s="47">
        <f>F145</f>
        <v>1183154</v>
      </c>
      <c r="G144" s="47">
        <f t="shared" si="29"/>
        <v>1119300</v>
      </c>
      <c r="H144" s="47">
        <f t="shared" si="29"/>
        <v>1119300</v>
      </c>
    </row>
    <row r="145" spans="1:9" s="44" customFormat="1" x14ac:dyDescent="0.25">
      <c r="A145" s="40" t="s">
        <v>333</v>
      </c>
      <c r="B145" s="46" t="s">
        <v>360</v>
      </c>
      <c r="C145" s="36" t="s">
        <v>137</v>
      </c>
      <c r="D145" s="36" t="s">
        <v>130</v>
      </c>
      <c r="E145" s="36" t="s">
        <v>72</v>
      </c>
      <c r="F145" s="47">
        <f>F146</f>
        <v>1183154</v>
      </c>
      <c r="G145" s="47">
        <f t="shared" si="29"/>
        <v>1119300</v>
      </c>
      <c r="H145" s="47">
        <f t="shared" si="29"/>
        <v>1119300</v>
      </c>
    </row>
    <row r="146" spans="1:9" s="44" customFormat="1" ht="63" x14ac:dyDescent="0.25">
      <c r="A146" s="40" t="s">
        <v>334</v>
      </c>
      <c r="B146" s="46" t="s">
        <v>77</v>
      </c>
      <c r="C146" s="36" t="s">
        <v>137</v>
      </c>
      <c r="D146" s="36" t="s">
        <v>130</v>
      </c>
      <c r="E146" s="36" t="s">
        <v>78</v>
      </c>
      <c r="F146" s="47">
        <f>'приложение 4'!G30</f>
        <v>1183154</v>
      </c>
      <c r="G146" s="47">
        <f>'приложение 4'!H30</f>
        <v>1119300</v>
      </c>
      <c r="H146" s="47">
        <f>'приложение 4'!I30</f>
        <v>1119300</v>
      </c>
    </row>
    <row r="147" spans="1:9" s="44" customFormat="1" ht="31.5" x14ac:dyDescent="0.25">
      <c r="A147" s="40" t="s">
        <v>335</v>
      </c>
      <c r="B147" s="46" t="s">
        <v>138</v>
      </c>
      <c r="C147" s="36" t="s">
        <v>137</v>
      </c>
      <c r="D147" s="36" t="s">
        <v>139</v>
      </c>
      <c r="E147" s="36"/>
      <c r="F147" s="47">
        <f>F148</f>
        <v>1011278.57</v>
      </c>
      <c r="G147" s="47">
        <f t="shared" ref="G147:H149" si="30">G148</f>
        <v>479301</v>
      </c>
      <c r="H147" s="47">
        <f t="shared" si="30"/>
        <v>424402</v>
      </c>
    </row>
    <row r="148" spans="1:9" s="44" customFormat="1" ht="31.5" x14ac:dyDescent="0.25">
      <c r="A148" s="40" t="s">
        <v>336</v>
      </c>
      <c r="B148" s="46" t="s">
        <v>140</v>
      </c>
      <c r="C148" s="36" t="s">
        <v>137</v>
      </c>
      <c r="D148" s="36" t="s">
        <v>141</v>
      </c>
      <c r="E148" s="36"/>
      <c r="F148" s="47">
        <f>F149</f>
        <v>1011278.57</v>
      </c>
      <c r="G148" s="47">
        <f t="shared" si="30"/>
        <v>479301</v>
      </c>
      <c r="H148" s="47">
        <f t="shared" si="30"/>
        <v>424402</v>
      </c>
    </row>
    <row r="149" spans="1:9" s="44" customFormat="1" x14ac:dyDescent="0.25">
      <c r="A149" s="40" t="s">
        <v>337</v>
      </c>
      <c r="B149" s="46" t="s">
        <v>360</v>
      </c>
      <c r="C149" s="36" t="s">
        <v>137</v>
      </c>
      <c r="D149" s="36" t="s">
        <v>141</v>
      </c>
      <c r="E149" s="36" t="s">
        <v>72</v>
      </c>
      <c r="F149" s="47">
        <f>F150</f>
        <v>1011278.57</v>
      </c>
      <c r="G149" s="47">
        <f t="shared" si="30"/>
        <v>479301</v>
      </c>
      <c r="H149" s="47">
        <f t="shared" si="30"/>
        <v>424402</v>
      </c>
    </row>
    <row r="150" spans="1:9" s="44" customFormat="1" ht="63" x14ac:dyDescent="0.25">
      <c r="A150" s="40" t="s">
        <v>338</v>
      </c>
      <c r="B150" s="46" t="s">
        <v>77</v>
      </c>
      <c r="C150" s="36" t="s">
        <v>137</v>
      </c>
      <c r="D150" s="36" t="s">
        <v>141</v>
      </c>
      <c r="E150" s="36" t="s">
        <v>78</v>
      </c>
      <c r="F150" s="47">
        <f>'приложение 4'!G32</f>
        <v>1011278.57</v>
      </c>
      <c r="G150" s="47">
        <f>'приложение 4'!H32</f>
        <v>479301</v>
      </c>
      <c r="H150" s="47">
        <f>'приложение 4'!I32</f>
        <v>424402</v>
      </c>
    </row>
    <row r="151" spans="1:9" s="44" customFormat="1" x14ac:dyDescent="0.25">
      <c r="A151" s="40" t="s">
        <v>339</v>
      </c>
      <c r="B151" s="46" t="s">
        <v>142</v>
      </c>
      <c r="C151" s="36" t="s">
        <v>137</v>
      </c>
      <c r="D151" s="36" t="s">
        <v>143</v>
      </c>
      <c r="E151" s="36"/>
      <c r="F151" s="47">
        <f>F153</f>
        <v>5000</v>
      </c>
      <c r="G151" s="47">
        <f t="shared" ref="G151:H152" si="31">G153</f>
        <v>0</v>
      </c>
      <c r="H151" s="47">
        <f t="shared" si="31"/>
        <v>0</v>
      </c>
    </row>
    <row r="152" spans="1:9" s="44" customFormat="1" x14ac:dyDescent="0.25">
      <c r="A152" s="40" t="s">
        <v>345</v>
      </c>
      <c r="B152" s="46" t="s">
        <v>144</v>
      </c>
      <c r="C152" s="36" t="s">
        <v>137</v>
      </c>
      <c r="D152" s="36" t="s">
        <v>145</v>
      </c>
      <c r="E152" s="36"/>
      <c r="F152" s="47">
        <f>F154</f>
        <v>5000</v>
      </c>
      <c r="G152" s="47">
        <f t="shared" si="31"/>
        <v>0</v>
      </c>
      <c r="H152" s="47">
        <f t="shared" si="31"/>
        <v>0</v>
      </c>
    </row>
    <row r="153" spans="1:9" s="44" customFormat="1" x14ac:dyDescent="0.25">
      <c r="A153" s="40" t="s">
        <v>346</v>
      </c>
      <c r="B153" s="46" t="s">
        <v>360</v>
      </c>
      <c r="C153" s="36" t="s">
        <v>137</v>
      </c>
      <c r="D153" s="36" t="s">
        <v>145</v>
      </c>
      <c r="E153" s="36" t="s">
        <v>72</v>
      </c>
      <c r="F153" s="47">
        <f>F154</f>
        <v>5000</v>
      </c>
      <c r="G153" s="47">
        <f>G154</f>
        <v>0</v>
      </c>
      <c r="H153" s="47">
        <f>H154</f>
        <v>0</v>
      </c>
    </row>
    <row r="154" spans="1:9" s="44" customFormat="1" ht="63" x14ac:dyDescent="0.25">
      <c r="A154" s="40" t="s">
        <v>347</v>
      </c>
      <c r="B154" s="46" t="s">
        <v>77</v>
      </c>
      <c r="C154" s="36" t="s">
        <v>137</v>
      </c>
      <c r="D154" s="36" t="s">
        <v>145</v>
      </c>
      <c r="E154" s="36" t="s">
        <v>78</v>
      </c>
      <c r="F154" s="47">
        <f>'приложение 4'!G34</f>
        <v>5000</v>
      </c>
      <c r="G154" s="47">
        <f>'приложение 4'!H34</f>
        <v>0</v>
      </c>
      <c r="H154" s="47">
        <f>'приложение 4'!I34</f>
        <v>0</v>
      </c>
    </row>
    <row r="155" spans="1:9" s="171" customFormat="1" ht="47.25" x14ac:dyDescent="0.25">
      <c r="A155" s="40" t="s">
        <v>348</v>
      </c>
      <c r="B155" s="41" t="s">
        <v>536</v>
      </c>
      <c r="C155" s="42" t="s">
        <v>535</v>
      </c>
      <c r="D155" s="42"/>
      <c r="E155" s="42"/>
      <c r="F155" s="43">
        <f>F156</f>
        <v>1327820</v>
      </c>
      <c r="G155" s="43">
        <f t="shared" ref="G155:H158" si="32">G156</f>
        <v>1259870</v>
      </c>
      <c r="H155" s="43">
        <f t="shared" si="32"/>
        <v>1259870</v>
      </c>
      <c r="I155" s="48"/>
    </row>
    <row r="156" spans="1:9" s="172" customFormat="1" ht="78.75" x14ac:dyDescent="0.25">
      <c r="A156" s="40" t="s">
        <v>349</v>
      </c>
      <c r="B156" s="46" t="s">
        <v>539</v>
      </c>
      <c r="C156" s="36" t="s">
        <v>535</v>
      </c>
      <c r="D156" s="36" t="s">
        <v>128</v>
      </c>
      <c r="E156" s="36"/>
      <c r="F156" s="47">
        <f>F157</f>
        <v>1327820</v>
      </c>
      <c r="G156" s="47">
        <f t="shared" si="32"/>
        <v>1259870</v>
      </c>
      <c r="H156" s="47">
        <f t="shared" si="32"/>
        <v>1259870</v>
      </c>
      <c r="I156" s="44"/>
    </row>
    <row r="157" spans="1:9" s="172" customFormat="1" ht="31.5" x14ac:dyDescent="0.25">
      <c r="A157" s="40" t="s">
        <v>350</v>
      </c>
      <c r="B157" s="46" t="s">
        <v>129</v>
      </c>
      <c r="C157" s="36" t="s">
        <v>535</v>
      </c>
      <c r="D157" s="36" t="s">
        <v>130</v>
      </c>
      <c r="E157" s="36"/>
      <c r="F157" s="47">
        <f>F158</f>
        <v>1327820</v>
      </c>
      <c r="G157" s="47">
        <f t="shared" si="32"/>
        <v>1259870</v>
      </c>
      <c r="H157" s="47">
        <f t="shared" si="32"/>
        <v>1259870</v>
      </c>
      <c r="I157" s="44"/>
    </row>
    <row r="158" spans="1:9" s="172" customFormat="1" x14ac:dyDescent="0.25">
      <c r="A158" s="40" t="s">
        <v>351</v>
      </c>
      <c r="B158" s="46" t="s">
        <v>120</v>
      </c>
      <c r="C158" s="36" t="s">
        <v>535</v>
      </c>
      <c r="D158" s="36" t="s">
        <v>130</v>
      </c>
      <c r="E158" s="36" t="s">
        <v>392</v>
      </c>
      <c r="F158" s="47">
        <f>F159</f>
        <v>1327820</v>
      </c>
      <c r="G158" s="47">
        <f t="shared" si="32"/>
        <v>1259870</v>
      </c>
      <c r="H158" s="47">
        <f t="shared" si="32"/>
        <v>1259870</v>
      </c>
      <c r="I158" s="44"/>
    </row>
    <row r="159" spans="1:9" s="172" customFormat="1" ht="63" x14ac:dyDescent="0.25">
      <c r="A159" s="40" t="s">
        <v>352</v>
      </c>
      <c r="B159" s="46" t="s">
        <v>77</v>
      </c>
      <c r="C159" s="36" t="s">
        <v>535</v>
      </c>
      <c r="D159" s="36" t="s">
        <v>130</v>
      </c>
      <c r="E159" s="36" t="s">
        <v>392</v>
      </c>
      <c r="F159" s="47">
        <f>'приложение 4'!G35</f>
        <v>1327820</v>
      </c>
      <c r="G159" s="47">
        <f>'приложение 4'!H35</f>
        <v>1259870</v>
      </c>
      <c r="H159" s="47">
        <f>'приложение 4'!I35</f>
        <v>1259870</v>
      </c>
      <c r="I159" s="44"/>
    </row>
    <row r="160" spans="1:9" s="48" customFormat="1" ht="31.5" x14ac:dyDescent="0.25">
      <c r="A160" s="40" t="s">
        <v>353</v>
      </c>
      <c r="B160" s="41" t="s">
        <v>125</v>
      </c>
      <c r="C160" s="42" t="s">
        <v>126</v>
      </c>
      <c r="D160" s="42"/>
      <c r="E160" s="42"/>
      <c r="F160" s="43">
        <f>F161</f>
        <v>980565</v>
      </c>
      <c r="G160" s="43">
        <f t="shared" ref="G160:H162" si="33">G161</f>
        <v>940140</v>
      </c>
      <c r="H160" s="43">
        <f t="shared" si="33"/>
        <v>940140</v>
      </c>
    </row>
    <row r="161" spans="1:9" s="44" customFormat="1" ht="78.75" x14ac:dyDescent="0.25">
      <c r="A161" s="40" t="s">
        <v>354</v>
      </c>
      <c r="B161" s="46" t="s">
        <v>127</v>
      </c>
      <c r="C161" s="36" t="s">
        <v>126</v>
      </c>
      <c r="D161" s="36" t="s">
        <v>128</v>
      </c>
      <c r="E161" s="36"/>
      <c r="F161" s="47">
        <f>F162</f>
        <v>980565</v>
      </c>
      <c r="G161" s="47">
        <f t="shared" si="33"/>
        <v>940140</v>
      </c>
      <c r="H161" s="47">
        <f t="shared" si="33"/>
        <v>940140</v>
      </c>
    </row>
    <row r="162" spans="1:9" s="44" customFormat="1" ht="31.5" x14ac:dyDescent="0.25">
      <c r="A162" s="40" t="s">
        <v>355</v>
      </c>
      <c r="B162" s="46" t="s">
        <v>129</v>
      </c>
      <c r="C162" s="36" t="s">
        <v>126</v>
      </c>
      <c r="D162" s="36" t="s">
        <v>130</v>
      </c>
      <c r="E162" s="36"/>
      <c r="F162" s="47">
        <f>F163</f>
        <v>980565</v>
      </c>
      <c r="G162" s="47">
        <f t="shared" si="33"/>
        <v>940140</v>
      </c>
      <c r="H162" s="47">
        <f t="shared" si="33"/>
        <v>940140</v>
      </c>
    </row>
    <row r="163" spans="1:9" s="44" customFormat="1" x14ac:dyDescent="0.25">
      <c r="A163" s="40" t="s">
        <v>356</v>
      </c>
      <c r="B163" s="46" t="s">
        <v>360</v>
      </c>
      <c r="C163" s="36" t="s">
        <v>126</v>
      </c>
      <c r="D163" s="36" t="s">
        <v>130</v>
      </c>
      <c r="E163" s="36" t="s">
        <v>72</v>
      </c>
      <c r="F163" s="47">
        <f>F164</f>
        <v>980565</v>
      </c>
      <c r="G163" s="47">
        <f>G164</f>
        <v>940140</v>
      </c>
      <c r="H163" s="47">
        <f>H164</f>
        <v>940140</v>
      </c>
    </row>
    <row r="164" spans="1:9" s="44" customFormat="1" ht="47.25" x14ac:dyDescent="0.25">
      <c r="A164" s="40" t="s">
        <v>357</v>
      </c>
      <c r="B164" s="46" t="s">
        <v>363</v>
      </c>
      <c r="C164" s="36" t="s">
        <v>126</v>
      </c>
      <c r="D164" s="36" t="s">
        <v>130</v>
      </c>
      <c r="E164" s="36" t="s">
        <v>74</v>
      </c>
      <c r="F164" s="47">
        <f>'приложение 4'!G18</f>
        <v>980565</v>
      </c>
      <c r="G164" s="47">
        <f>'приложение 4'!H18</f>
        <v>940140</v>
      </c>
      <c r="H164" s="47">
        <f>'приложение 4'!I18</f>
        <v>940140</v>
      </c>
    </row>
    <row r="165" spans="1:9" s="171" customFormat="1" ht="47.25" x14ac:dyDescent="0.25">
      <c r="A165" s="40" t="s">
        <v>358</v>
      </c>
      <c r="B165" s="41" t="s">
        <v>538</v>
      </c>
      <c r="C165" s="42" t="s">
        <v>540</v>
      </c>
      <c r="D165" s="42"/>
      <c r="E165" s="42"/>
      <c r="F165" s="43">
        <f>F166</f>
        <v>154881</v>
      </c>
      <c r="G165" s="43">
        <f t="shared" ref="G165:H170" si="34">G166</f>
        <v>148495</v>
      </c>
      <c r="H165" s="43">
        <f t="shared" si="34"/>
        <v>148495</v>
      </c>
      <c r="I165" s="48"/>
    </row>
    <row r="166" spans="1:9" s="172" customFormat="1" ht="78.75" x14ac:dyDescent="0.25">
      <c r="A166" s="40" t="s">
        <v>359</v>
      </c>
      <c r="B166" s="46" t="s">
        <v>539</v>
      </c>
      <c r="C166" s="36" t="s">
        <v>540</v>
      </c>
      <c r="D166" s="36" t="s">
        <v>128</v>
      </c>
      <c r="E166" s="36"/>
      <c r="F166" s="47">
        <f>F167</f>
        <v>154881</v>
      </c>
      <c r="G166" s="47">
        <f t="shared" si="34"/>
        <v>148495</v>
      </c>
      <c r="H166" s="47">
        <f t="shared" si="34"/>
        <v>148495</v>
      </c>
      <c r="I166" s="44"/>
    </row>
    <row r="167" spans="1:9" s="172" customFormat="1" ht="31.5" x14ac:dyDescent="0.25">
      <c r="A167" s="40" t="s">
        <v>361</v>
      </c>
      <c r="B167" s="46" t="s">
        <v>129</v>
      </c>
      <c r="C167" s="36" t="s">
        <v>540</v>
      </c>
      <c r="D167" s="36" t="s">
        <v>130</v>
      </c>
      <c r="E167" s="36"/>
      <c r="F167" s="47">
        <f>F168</f>
        <v>154881</v>
      </c>
      <c r="G167" s="47">
        <f t="shared" si="34"/>
        <v>148495</v>
      </c>
      <c r="H167" s="47">
        <f t="shared" si="34"/>
        <v>148495</v>
      </c>
      <c r="I167" s="44"/>
    </row>
    <row r="168" spans="1:9" s="172" customFormat="1" x14ac:dyDescent="0.25">
      <c r="A168" s="40" t="s">
        <v>362</v>
      </c>
      <c r="B168" s="46" t="s">
        <v>120</v>
      </c>
      <c r="C168" s="36" t="s">
        <v>540</v>
      </c>
      <c r="D168" s="36" t="s">
        <v>130</v>
      </c>
      <c r="E168" s="36" t="s">
        <v>392</v>
      </c>
      <c r="F168" s="47">
        <f>F169</f>
        <v>154881</v>
      </c>
      <c r="G168" s="47">
        <f t="shared" si="34"/>
        <v>148495</v>
      </c>
      <c r="H168" s="47">
        <f t="shared" si="34"/>
        <v>148495</v>
      </c>
      <c r="I168" s="44"/>
    </row>
    <row r="169" spans="1:9" s="172" customFormat="1" ht="63" x14ac:dyDescent="0.25">
      <c r="A169" s="40" t="s">
        <v>528</v>
      </c>
      <c r="B169" s="46" t="s">
        <v>77</v>
      </c>
      <c r="C169" s="36" t="s">
        <v>540</v>
      </c>
      <c r="D169" s="36" t="s">
        <v>130</v>
      </c>
      <c r="E169" s="36" t="s">
        <v>392</v>
      </c>
      <c r="F169" s="47">
        <f>'приложение 4'!G38</f>
        <v>154881</v>
      </c>
      <c r="G169" s="47">
        <f>'приложение 4'!H38</f>
        <v>148495</v>
      </c>
      <c r="H169" s="47">
        <f>'приложение 4'!I38</f>
        <v>148495</v>
      </c>
      <c r="I169" s="44"/>
    </row>
    <row r="170" spans="1:9" s="171" customFormat="1" ht="31.5" x14ac:dyDescent="0.25">
      <c r="A170" s="40" t="s">
        <v>529</v>
      </c>
      <c r="B170" s="41" t="str">
        <f>'приложение 4'!B40</f>
        <v>Расходы на выплаты персоналу государственных (муниципальных) органов</v>
      </c>
      <c r="C170" s="42" t="s">
        <v>635</v>
      </c>
      <c r="D170" s="42"/>
      <c r="E170" s="42"/>
      <c r="F170" s="43">
        <f>F171</f>
        <v>100000</v>
      </c>
      <c r="G170" s="43">
        <f t="shared" si="34"/>
        <v>0</v>
      </c>
      <c r="H170" s="43">
        <f t="shared" si="34"/>
        <v>0</v>
      </c>
      <c r="I170" s="48"/>
    </row>
    <row r="171" spans="1:9" s="44" customFormat="1" ht="31.5" x14ac:dyDescent="0.25">
      <c r="A171" s="40" t="s">
        <v>530</v>
      </c>
      <c r="B171" s="46" t="s">
        <v>138</v>
      </c>
      <c r="C171" s="36" t="s">
        <v>635</v>
      </c>
      <c r="D171" s="36" t="s">
        <v>139</v>
      </c>
      <c r="E171" s="36"/>
      <c r="F171" s="47">
        <f>F172</f>
        <v>100000</v>
      </c>
      <c r="G171" s="47">
        <f t="shared" ref="G171:H173" si="35">G172</f>
        <v>0</v>
      </c>
      <c r="H171" s="47">
        <f t="shared" si="35"/>
        <v>0</v>
      </c>
    </row>
    <row r="172" spans="1:9" s="44" customFormat="1" ht="31.5" x14ac:dyDescent="0.25">
      <c r="A172" s="40" t="s">
        <v>531</v>
      </c>
      <c r="B172" s="46" t="s">
        <v>140</v>
      </c>
      <c r="C172" s="36" t="s">
        <v>635</v>
      </c>
      <c r="D172" s="36" t="s">
        <v>141</v>
      </c>
      <c r="E172" s="36"/>
      <c r="F172" s="47">
        <f>F173</f>
        <v>100000</v>
      </c>
      <c r="G172" s="47">
        <f t="shared" si="35"/>
        <v>0</v>
      </c>
      <c r="H172" s="47">
        <f t="shared" si="35"/>
        <v>0</v>
      </c>
    </row>
    <row r="173" spans="1:9" s="44" customFormat="1" x14ac:dyDescent="0.25">
      <c r="A173" s="40" t="s">
        <v>532</v>
      </c>
      <c r="B173" s="46" t="s">
        <v>360</v>
      </c>
      <c r="C173" s="36" t="s">
        <v>635</v>
      </c>
      <c r="D173" s="36" t="s">
        <v>141</v>
      </c>
      <c r="E173" s="36" t="s">
        <v>72</v>
      </c>
      <c r="F173" s="47">
        <f>F174</f>
        <v>100000</v>
      </c>
      <c r="G173" s="47">
        <f t="shared" si="35"/>
        <v>0</v>
      </c>
      <c r="H173" s="47">
        <f t="shared" si="35"/>
        <v>0</v>
      </c>
    </row>
    <row r="174" spans="1:9" s="44" customFormat="1" ht="63" x14ac:dyDescent="0.25">
      <c r="A174" s="40" t="s">
        <v>533</v>
      </c>
      <c r="B174" s="46" t="s">
        <v>77</v>
      </c>
      <c r="C174" s="36" t="s">
        <v>635</v>
      </c>
      <c r="D174" s="36" t="s">
        <v>141</v>
      </c>
      <c r="E174" s="36" t="s">
        <v>78</v>
      </c>
      <c r="F174" s="47">
        <f>'приложение 4'!G43</f>
        <v>100000</v>
      </c>
      <c r="G174" s="47">
        <f>'приложение 4'!H43</f>
        <v>0</v>
      </c>
      <c r="H174" s="47">
        <f>'приложение 4'!I43</f>
        <v>0</v>
      </c>
    </row>
    <row r="175" spans="1:9" s="44" customFormat="1" ht="31.5" x14ac:dyDescent="0.25">
      <c r="A175" s="40" t="s">
        <v>534</v>
      </c>
      <c r="B175" s="41" t="s">
        <v>146</v>
      </c>
      <c r="C175" s="42" t="s">
        <v>147</v>
      </c>
      <c r="D175" s="42"/>
      <c r="E175" s="42"/>
      <c r="F175" s="43">
        <f>F176</f>
        <v>10000</v>
      </c>
      <c r="G175" s="43">
        <f t="shared" ref="F175:H179" si="36">G176</f>
        <v>0</v>
      </c>
      <c r="H175" s="43">
        <f t="shared" si="36"/>
        <v>0</v>
      </c>
    </row>
    <row r="176" spans="1:9" s="44" customFormat="1" ht="47.25" x14ac:dyDescent="0.25">
      <c r="A176" s="40" t="s">
        <v>582</v>
      </c>
      <c r="B176" s="41" t="s">
        <v>148</v>
      </c>
      <c r="C176" s="42" t="s">
        <v>149</v>
      </c>
      <c r="D176" s="42"/>
      <c r="E176" s="42"/>
      <c r="F176" s="43">
        <f t="shared" si="36"/>
        <v>10000</v>
      </c>
      <c r="G176" s="43">
        <f t="shared" si="36"/>
        <v>0</v>
      </c>
      <c r="H176" s="43">
        <f t="shared" si="36"/>
        <v>0</v>
      </c>
    </row>
    <row r="177" spans="1:8" s="44" customFormat="1" x14ac:dyDescent="0.25">
      <c r="A177" s="40" t="s">
        <v>583</v>
      </c>
      <c r="B177" s="46" t="s">
        <v>142</v>
      </c>
      <c r="C177" s="36" t="s">
        <v>149</v>
      </c>
      <c r="D177" s="36" t="s">
        <v>143</v>
      </c>
      <c r="E177" s="36"/>
      <c r="F177" s="47">
        <f>F178</f>
        <v>10000</v>
      </c>
      <c r="G177" s="47">
        <f t="shared" si="36"/>
        <v>0</v>
      </c>
      <c r="H177" s="47">
        <f t="shared" si="36"/>
        <v>0</v>
      </c>
    </row>
    <row r="178" spans="1:8" s="44" customFormat="1" x14ac:dyDescent="0.25">
      <c r="A178" s="40" t="s">
        <v>584</v>
      </c>
      <c r="B178" s="46" t="s">
        <v>150</v>
      </c>
      <c r="C178" s="36" t="s">
        <v>149</v>
      </c>
      <c r="D178" s="36" t="s">
        <v>151</v>
      </c>
      <c r="E178" s="36"/>
      <c r="F178" s="47">
        <f>F179</f>
        <v>10000</v>
      </c>
      <c r="G178" s="47">
        <f t="shared" si="36"/>
        <v>0</v>
      </c>
      <c r="H178" s="47">
        <f t="shared" si="36"/>
        <v>0</v>
      </c>
    </row>
    <row r="179" spans="1:8" s="44" customFormat="1" x14ac:dyDescent="0.25">
      <c r="A179" s="40" t="s">
        <v>585</v>
      </c>
      <c r="B179" s="46" t="s">
        <v>360</v>
      </c>
      <c r="C179" s="36" t="s">
        <v>149</v>
      </c>
      <c r="D179" s="36" t="s">
        <v>151</v>
      </c>
      <c r="E179" s="36" t="s">
        <v>72</v>
      </c>
      <c r="F179" s="47">
        <f>F180</f>
        <v>10000</v>
      </c>
      <c r="G179" s="47">
        <f t="shared" si="36"/>
        <v>0</v>
      </c>
      <c r="H179" s="47">
        <f t="shared" si="36"/>
        <v>0</v>
      </c>
    </row>
    <row r="180" spans="1:8" s="44" customFormat="1" x14ac:dyDescent="0.25">
      <c r="A180" s="40" t="s">
        <v>586</v>
      </c>
      <c r="B180" s="46" t="s">
        <v>79</v>
      </c>
      <c r="C180" s="36" t="s">
        <v>149</v>
      </c>
      <c r="D180" s="36" t="s">
        <v>151</v>
      </c>
      <c r="E180" s="36" t="s">
        <v>80</v>
      </c>
      <c r="F180" s="47">
        <f>'приложение 4'!G49</f>
        <v>10000</v>
      </c>
      <c r="G180" s="47">
        <f>'приложение 4'!H49</f>
        <v>0</v>
      </c>
      <c r="H180" s="47">
        <f>'приложение 4'!I49</f>
        <v>0</v>
      </c>
    </row>
    <row r="181" spans="1:8" s="48" customFormat="1" ht="31.5" x14ac:dyDescent="0.25">
      <c r="A181" s="40" t="s">
        <v>587</v>
      </c>
      <c r="B181" s="41" t="s">
        <v>152</v>
      </c>
      <c r="C181" s="42" t="s">
        <v>153</v>
      </c>
      <c r="D181" s="42"/>
      <c r="E181" s="42"/>
      <c r="F181" s="43">
        <f>F182+F206+F197+F192+F187</f>
        <v>449565</v>
      </c>
      <c r="G181" s="43">
        <f t="shared" ref="G181:H181" si="37">G182+G206+G197+G192+G187</f>
        <v>437631</v>
      </c>
      <c r="H181" s="43">
        <f t="shared" si="37"/>
        <v>454474</v>
      </c>
    </row>
    <row r="182" spans="1:8" s="44" customFormat="1" ht="63" x14ac:dyDescent="0.25">
      <c r="A182" s="40" t="s">
        <v>588</v>
      </c>
      <c r="B182" s="41" t="s">
        <v>154</v>
      </c>
      <c r="C182" s="42" t="s">
        <v>155</v>
      </c>
      <c r="D182" s="42"/>
      <c r="E182" s="42"/>
      <c r="F182" s="43">
        <f>F183</f>
        <v>3000</v>
      </c>
      <c r="G182" s="43">
        <f t="shared" ref="G182:H185" si="38">G183</f>
        <v>0</v>
      </c>
      <c r="H182" s="43">
        <f t="shared" si="38"/>
        <v>0</v>
      </c>
    </row>
    <row r="183" spans="1:8" s="44" customFormat="1" x14ac:dyDescent="0.25">
      <c r="A183" s="40" t="s">
        <v>589</v>
      </c>
      <c r="B183" s="46" t="s">
        <v>142</v>
      </c>
      <c r="C183" s="36" t="s">
        <v>155</v>
      </c>
      <c r="D183" s="36" t="s">
        <v>143</v>
      </c>
      <c r="E183" s="36"/>
      <c r="F183" s="47">
        <f>F184</f>
        <v>3000</v>
      </c>
      <c r="G183" s="47">
        <f t="shared" si="38"/>
        <v>0</v>
      </c>
      <c r="H183" s="47">
        <f t="shared" si="38"/>
        <v>0</v>
      </c>
    </row>
    <row r="184" spans="1:8" s="44" customFormat="1" x14ac:dyDescent="0.25">
      <c r="A184" s="40" t="s">
        <v>590</v>
      </c>
      <c r="B184" s="46" t="s">
        <v>144</v>
      </c>
      <c r="C184" s="36" t="s">
        <v>155</v>
      </c>
      <c r="D184" s="36" t="s">
        <v>145</v>
      </c>
      <c r="E184" s="36"/>
      <c r="F184" s="47">
        <f>F185</f>
        <v>3000</v>
      </c>
      <c r="G184" s="47">
        <f t="shared" si="38"/>
        <v>0</v>
      </c>
      <c r="H184" s="47">
        <f t="shared" si="38"/>
        <v>0</v>
      </c>
    </row>
    <row r="185" spans="1:8" s="44" customFormat="1" x14ac:dyDescent="0.25">
      <c r="A185" s="40" t="s">
        <v>591</v>
      </c>
      <c r="B185" s="46" t="s">
        <v>360</v>
      </c>
      <c r="C185" s="36" t="s">
        <v>155</v>
      </c>
      <c r="D185" s="36" t="s">
        <v>145</v>
      </c>
      <c r="E185" s="36" t="s">
        <v>72</v>
      </c>
      <c r="F185" s="47">
        <f>F186</f>
        <v>3000</v>
      </c>
      <c r="G185" s="47">
        <f t="shared" si="38"/>
        <v>0</v>
      </c>
      <c r="H185" s="47">
        <f t="shared" si="38"/>
        <v>0</v>
      </c>
    </row>
    <row r="186" spans="1:8" s="44" customFormat="1" x14ac:dyDescent="0.25">
      <c r="A186" s="40" t="s">
        <v>592</v>
      </c>
      <c r="B186" s="46" t="s">
        <v>81</v>
      </c>
      <c r="C186" s="36" t="s">
        <v>155</v>
      </c>
      <c r="D186" s="36" t="s">
        <v>145</v>
      </c>
      <c r="E186" s="36" t="s">
        <v>82</v>
      </c>
      <c r="F186" s="47">
        <f>'приложение 4'!G55</f>
        <v>3000</v>
      </c>
      <c r="G186" s="47">
        <f>'приложение 4'!H55</f>
        <v>0</v>
      </c>
      <c r="H186" s="47">
        <f>'приложение 4'!I55</f>
        <v>0</v>
      </c>
    </row>
    <row r="187" spans="1:8" s="44" customFormat="1" x14ac:dyDescent="0.25">
      <c r="A187" s="40" t="s">
        <v>593</v>
      </c>
      <c r="B187" s="41" t="s">
        <v>142</v>
      </c>
      <c r="C187" s="42" t="s">
        <v>463</v>
      </c>
      <c r="D187" s="42"/>
      <c r="E187" s="42"/>
      <c r="F187" s="43">
        <f>F188</f>
        <v>22500</v>
      </c>
      <c r="G187" s="43">
        <f>G188</f>
        <v>0</v>
      </c>
      <c r="H187" s="43">
        <f>H188</f>
        <v>0</v>
      </c>
    </row>
    <row r="188" spans="1:8" s="44" customFormat="1" ht="31.5" x14ac:dyDescent="0.25">
      <c r="A188" s="40" t="s">
        <v>594</v>
      </c>
      <c r="B188" s="46" t="s">
        <v>138</v>
      </c>
      <c r="C188" s="36" t="s">
        <v>463</v>
      </c>
      <c r="D188" s="36" t="s">
        <v>139</v>
      </c>
      <c r="E188" s="36"/>
      <c r="F188" s="47">
        <f>F189</f>
        <v>22500</v>
      </c>
      <c r="G188" s="47">
        <f t="shared" ref="G188:H190" si="39">G189</f>
        <v>0</v>
      </c>
      <c r="H188" s="47">
        <f t="shared" si="39"/>
        <v>0</v>
      </c>
    </row>
    <row r="189" spans="1:8" s="44" customFormat="1" ht="31.5" x14ac:dyDescent="0.25">
      <c r="A189" s="40" t="s">
        <v>595</v>
      </c>
      <c r="B189" s="46" t="s">
        <v>140</v>
      </c>
      <c r="C189" s="36" t="s">
        <v>463</v>
      </c>
      <c r="D189" s="36" t="s">
        <v>141</v>
      </c>
      <c r="E189" s="36"/>
      <c r="F189" s="47">
        <f>F190</f>
        <v>22500</v>
      </c>
      <c r="G189" s="47">
        <f t="shared" si="39"/>
        <v>0</v>
      </c>
      <c r="H189" s="47">
        <f t="shared" si="39"/>
        <v>0</v>
      </c>
    </row>
    <row r="190" spans="1:8" s="44" customFormat="1" x14ac:dyDescent="0.25">
      <c r="A190" s="40" t="s">
        <v>596</v>
      </c>
      <c r="B190" s="46" t="s">
        <v>159</v>
      </c>
      <c r="C190" s="36" t="s">
        <v>463</v>
      </c>
      <c r="D190" s="36" t="s">
        <v>141</v>
      </c>
      <c r="E190" s="36" t="s">
        <v>72</v>
      </c>
      <c r="F190" s="47">
        <f>F191</f>
        <v>22500</v>
      </c>
      <c r="G190" s="47">
        <f t="shared" si="39"/>
        <v>0</v>
      </c>
      <c r="H190" s="47">
        <f t="shared" si="39"/>
        <v>0</v>
      </c>
    </row>
    <row r="191" spans="1:8" s="44" customFormat="1" x14ac:dyDescent="0.25">
      <c r="A191" s="40" t="s">
        <v>364</v>
      </c>
      <c r="B191" s="46" t="s">
        <v>85</v>
      </c>
      <c r="C191" s="36" t="s">
        <v>463</v>
      </c>
      <c r="D191" s="36" t="s">
        <v>141</v>
      </c>
      <c r="E191" s="36" t="s">
        <v>82</v>
      </c>
      <c r="F191" s="47">
        <f>'приложение 4'!G56</f>
        <v>22500</v>
      </c>
      <c r="G191" s="47">
        <f>'приложение 4'!H56</f>
        <v>0</v>
      </c>
      <c r="H191" s="47">
        <f>'приложение 4'!I56</f>
        <v>0</v>
      </c>
    </row>
    <row r="192" spans="1:8" s="44" customFormat="1" ht="63" x14ac:dyDescent="0.25">
      <c r="A192" s="40" t="s">
        <v>597</v>
      </c>
      <c r="B192" s="41" t="str">
        <f>'приложение 4'!B59</f>
        <v>Расходы на мероприятия, направленные на предупреждение и профилактику коррупции на территории сельсовета в рамках прочих непрограммных расходов сельсовета</v>
      </c>
      <c r="C192" s="42" t="s">
        <v>365</v>
      </c>
      <c r="D192" s="42"/>
      <c r="E192" s="42"/>
      <c r="F192" s="43">
        <f>F193</f>
        <v>2000</v>
      </c>
      <c r="G192" s="43">
        <f>G193</f>
        <v>0</v>
      </c>
      <c r="H192" s="43">
        <f>H193</f>
        <v>0</v>
      </c>
    </row>
    <row r="193" spans="1:8" s="44" customFormat="1" ht="31.5" x14ac:dyDescent="0.25">
      <c r="A193" s="40" t="s">
        <v>598</v>
      </c>
      <c r="B193" s="46" t="s">
        <v>138</v>
      </c>
      <c r="C193" s="36" t="s">
        <v>365</v>
      </c>
      <c r="D193" s="36" t="s">
        <v>139</v>
      </c>
      <c r="E193" s="36"/>
      <c r="F193" s="47">
        <f>F194</f>
        <v>2000</v>
      </c>
      <c r="G193" s="47">
        <f t="shared" ref="G193:H195" si="40">G194</f>
        <v>0</v>
      </c>
      <c r="H193" s="47">
        <f t="shared" si="40"/>
        <v>0</v>
      </c>
    </row>
    <row r="194" spans="1:8" s="44" customFormat="1" ht="31.5" x14ac:dyDescent="0.25">
      <c r="A194" s="40" t="s">
        <v>599</v>
      </c>
      <c r="B194" s="46" t="s">
        <v>140</v>
      </c>
      <c r="C194" s="36" t="s">
        <v>365</v>
      </c>
      <c r="D194" s="36" t="s">
        <v>141</v>
      </c>
      <c r="E194" s="36"/>
      <c r="F194" s="47">
        <f>F195</f>
        <v>2000</v>
      </c>
      <c r="G194" s="47">
        <f t="shared" si="40"/>
        <v>0</v>
      </c>
      <c r="H194" s="47">
        <f t="shared" si="40"/>
        <v>0</v>
      </c>
    </row>
    <row r="195" spans="1:8" s="44" customFormat="1" x14ac:dyDescent="0.25">
      <c r="A195" s="40" t="s">
        <v>600</v>
      </c>
      <c r="B195" s="46" t="s">
        <v>159</v>
      </c>
      <c r="C195" s="36" t="s">
        <v>365</v>
      </c>
      <c r="D195" s="36" t="s">
        <v>141</v>
      </c>
      <c r="E195" s="36" t="s">
        <v>72</v>
      </c>
      <c r="F195" s="47">
        <f>F196</f>
        <v>2000</v>
      </c>
      <c r="G195" s="47">
        <f t="shared" si="40"/>
        <v>0</v>
      </c>
      <c r="H195" s="47">
        <f t="shared" si="40"/>
        <v>0</v>
      </c>
    </row>
    <row r="196" spans="1:8" s="44" customFormat="1" x14ac:dyDescent="0.25">
      <c r="A196" s="40" t="s">
        <v>636</v>
      </c>
      <c r="B196" s="46" t="s">
        <v>85</v>
      </c>
      <c r="C196" s="36" t="s">
        <v>365</v>
      </c>
      <c r="D196" s="36" t="s">
        <v>141</v>
      </c>
      <c r="E196" s="36" t="s">
        <v>82</v>
      </c>
      <c r="F196" s="47">
        <f>'приложение 4'!G61</f>
        <v>2000</v>
      </c>
      <c r="G196" s="47">
        <f>'приложение 4'!H61</f>
        <v>0</v>
      </c>
      <c r="H196" s="47">
        <f>'приложение 4'!I61</f>
        <v>0</v>
      </c>
    </row>
    <row r="197" spans="1:8" s="44" customFormat="1" ht="63" x14ac:dyDescent="0.25">
      <c r="A197" s="40" t="s">
        <v>637</v>
      </c>
      <c r="B197" s="41" t="s">
        <v>160</v>
      </c>
      <c r="C197" s="42" t="s">
        <v>161</v>
      </c>
      <c r="D197" s="42"/>
      <c r="E197" s="42"/>
      <c r="F197" s="52">
        <f>F198+F202</f>
        <v>409265</v>
      </c>
      <c r="G197" s="52">
        <f>G198+G202</f>
        <v>424831</v>
      </c>
      <c r="H197" s="52">
        <f>H198+H202</f>
        <v>441674</v>
      </c>
    </row>
    <row r="198" spans="1:8" s="44" customFormat="1" ht="78.75" x14ac:dyDescent="0.25">
      <c r="A198" s="40" t="s">
        <v>638</v>
      </c>
      <c r="B198" s="46" t="s">
        <v>127</v>
      </c>
      <c r="C198" s="36" t="s">
        <v>161</v>
      </c>
      <c r="D198" s="36" t="s">
        <v>128</v>
      </c>
      <c r="E198" s="36"/>
      <c r="F198" s="47">
        <f t="shared" ref="F198:H200" si="41">F199</f>
        <v>359800</v>
      </c>
      <c r="G198" s="47">
        <f t="shared" si="41"/>
        <v>359800</v>
      </c>
      <c r="H198" s="47">
        <f t="shared" si="41"/>
        <v>359800</v>
      </c>
    </row>
    <row r="199" spans="1:8" s="44" customFormat="1" ht="31.5" x14ac:dyDescent="0.25">
      <c r="A199" s="40" t="s">
        <v>639</v>
      </c>
      <c r="B199" s="46" t="s">
        <v>129</v>
      </c>
      <c r="C199" s="36" t="s">
        <v>161</v>
      </c>
      <c r="D199" s="36" t="s">
        <v>130</v>
      </c>
      <c r="E199" s="36"/>
      <c r="F199" s="47">
        <f t="shared" si="41"/>
        <v>359800</v>
      </c>
      <c r="G199" s="47">
        <f t="shared" si="41"/>
        <v>359800</v>
      </c>
      <c r="H199" s="47">
        <f t="shared" si="41"/>
        <v>359800</v>
      </c>
    </row>
    <row r="200" spans="1:8" s="44" customFormat="1" x14ac:dyDescent="0.25">
      <c r="A200" s="40" t="s">
        <v>640</v>
      </c>
      <c r="B200" s="46" t="s">
        <v>159</v>
      </c>
      <c r="C200" s="36" t="s">
        <v>161</v>
      </c>
      <c r="D200" s="36" t="s">
        <v>130</v>
      </c>
      <c r="E200" s="36" t="s">
        <v>84</v>
      </c>
      <c r="F200" s="47">
        <f t="shared" si="41"/>
        <v>359800</v>
      </c>
      <c r="G200" s="47">
        <f t="shared" si="41"/>
        <v>359800</v>
      </c>
      <c r="H200" s="47">
        <f t="shared" si="41"/>
        <v>359800</v>
      </c>
    </row>
    <row r="201" spans="1:8" s="44" customFormat="1" x14ac:dyDescent="0.25">
      <c r="A201" s="40" t="s">
        <v>641</v>
      </c>
      <c r="B201" s="46" t="s">
        <v>85</v>
      </c>
      <c r="C201" s="36" t="s">
        <v>161</v>
      </c>
      <c r="D201" s="36" t="s">
        <v>130</v>
      </c>
      <c r="E201" s="36" t="s">
        <v>86</v>
      </c>
      <c r="F201" s="47">
        <f>'приложение 4'!G72</f>
        <v>359800</v>
      </c>
      <c r="G201" s="47">
        <f>'приложение 4'!H72</f>
        <v>359800</v>
      </c>
      <c r="H201" s="47">
        <f>'приложение 4'!I72</f>
        <v>359800</v>
      </c>
    </row>
    <row r="202" spans="1:8" s="44" customFormat="1" ht="31.5" x14ac:dyDescent="0.25">
      <c r="A202" s="40" t="s">
        <v>642</v>
      </c>
      <c r="B202" s="46" t="s">
        <v>138</v>
      </c>
      <c r="C202" s="36" t="s">
        <v>161</v>
      </c>
      <c r="D202" s="36" t="s">
        <v>139</v>
      </c>
      <c r="E202" s="36"/>
      <c r="F202" s="47">
        <f>F203</f>
        <v>49465</v>
      </c>
      <c r="G202" s="47">
        <f t="shared" ref="G202:H204" si="42">G203</f>
        <v>65031</v>
      </c>
      <c r="H202" s="47">
        <f t="shared" si="42"/>
        <v>81874</v>
      </c>
    </row>
    <row r="203" spans="1:8" s="44" customFormat="1" ht="31.5" x14ac:dyDescent="0.25">
      <c r="A203" s="40" t="s">
        <v>643</v>
      </c>
      <c r="B203" s="46" t="s">
        <v>140</v>
      </c>
      <c r="C203" s="36" t="s">
        <v>161</v>
      </c>
      <c r="D203" s="36" t="s">
        <v>141</v>
      </c>
      <c r="E203" s="36"/>
      <c r="F203" s="47">
        <f>F204</f>
        <v>49465</v>
      </c>
      <c r="G203" s="47">
        <f t="shared" si="42"/>
        <v>65031</v>
      </c>
      <c r="H203" s="47">
        <f t="shared" si="42"/>
        <v>81874</v>
      </c>
    </row>
    <row r="204" spans="1:8" s="44" customFormat="1" x14ac:dyDescent="0.25">
      <c r="A204" s="40" t="s">
        <v>644</v>
      </c>
      <c r="B204" s="46" t="s">
        <v>159</v>
      </c>
      <c r="C204" s="36" t="s">
        <v>161</v>
      </c>
      <c r="D204" s="36" t="s">
        <v>141</v>
      </c>
      <c r="E204" s="36" t="s">
        <v>84</v>
      </c>
      <c r="F204" s="47">
        <f>F205</f>
        <v>49465</v>
      </c>
      <c r="G204" s="47">
        <f t="shared" si="42"/>
        <v>65031</v>
      </c>
      <c r="H204" s="47">
        <f t="shared" si="42"/>
        <v>81874</v>
      </c>
    </row>
    <row r="205" spans="1:8" s="44" customFormat="1" x14ac:dyDescent="0.25">
      <c r="A205" s="40" t="s">
        <v>645</v>
      </c>
      <c r="B205" s="46" t="s">
        <v>85</v>
      </c>
      <c r="C205" s="36" t="s">
        <v>161</v>
      </c>
      <c r="D205" s="36" t="s">
        <v>141</v>
      </c>
      <c r="E205" s="36" t="s">
        <v>86</v>
      </c>
      <c r="F205" s="47">
        <f>'приложение 4'!G75</f>
        <v>49465</v>
      </c>
      <c r="G205" s="47">
        <f>'приложение 4'!H75</f>
        <v>65031</v>
      </c>
      <c r="H205" s="47">
        <f>'приложение 4'!I75</f>
        <v>81874</v>
      </c>
    </row>
    <row r="206" spans="1:8" s="44" customFormat="1" ht="78.75" x14ac:dyDescent="0.25">
      <c r="A206" s="40" t="s">
        <v>646</v>
      </c>
      <c r="B206" s="41" t="s">
        <v>157</v>
      </c>
      <c r="C206" s="53" t="s">
        <v>158</v>
      </c>
      <c r="D206" s="42"/>
      <c r="E206" s="42"/>
      <c r="F206" s="43">
        <f>F211+F207</f>
        <v>12800</v>
      </c>
      <c r="G206" s="43">
        <f>G211+G207</f>
        <v>12800</v>
      </c>
      <c r="H206" s="43">
        <f>H211+H207</f>
        <v>12800</v>
      </c>
    </row>
    <row r="207" spans="1:8" s="44" customFormat="1" ht="78.75" x14ac:dyDescent="0.25">
      <c r="A207" s="40" t="s">
        <v>647</v>
      </c>
      <c r="B207" s="46" t="s">
        <v>127</v>
      </c>
      <c r="C207" s="54" t="s">
        <v>158</v>
      </c>
      <c r="D207" s="36" t="s">
        <v>128</v>
      </c>
      <c r="E207" s="36"/>
      <c r="F207" s="47">
        <f>F208</f>
        <v>9600</v>
      </c>
      <c r="G207" s="47">
        <f t="shared" ref="G207:H209" si="43">G208</f>
        <v>9600</v>
      </c>
      <c r="H207" s="47">
        <f t="shared" si="43"/>
        <v>9600</v>
      </c>
    </row>
    <row r="208" spans="1:8" s="44" customFormat="1" ht="31.5" x14ac:dyDescent="0.25">
      <c r="A208" s="40" t="s">
        <v>648</v>
      </c>
      <c r="B208" s="46" t="s">
        <v>129</v>
      </c>
      <c r="C208" s="54" t="s">
        <v>158</v>
      </c>
      <c r="D208" s="36" t="s">
        <v>130</v>
      </c>
      <c r="E208" s="36"/>
      <c r="F208" s="47">
        <f>F209</f>
        <v>9600</v>
      </c>
      <c r="G208" s="47">
        <f t="shared" si="43"/>
        <v>9600</v>
      </c>
      <c r="H208" s="47">
        <f t="shared" si="43"/>
        <v>9600</v>
      </c>
    </row>
    <row r="209" spans="1:8" s="44" customFormat="1" x14ac:dyDescent="0.25">
      <c r="A209" s="40" t="s">
        <v>139</v>
      </c>
      <c r="B209" s="46" t="s">
        <v>360</v>
      </c>
      <c r="C209" s="54" t="s">
        <v>158</v>
      </c>
      <c r="D209" s="36" t="s">
        <v>130</v>
      </c>
      <c r="E209" s="36" t="s">
        <v>72</v>
      </c>
      <c r="F209" s="47">
        <f>F210</f>
        <v>9600</v>
      </c>
      <c r="G209" s="47">
        <f t="shared" si="43"/>
        <v>9600</v>
      </c>
      <c r="H209" s="47">
        <f t="shared" si="43"/>
        <v>9600</v>
      </c>
    </row>
    <row r="210" spans="1:8" s="44" customFormat="1" x14ac:dyDescent="0.25">
      <c r="A210" s="40" t="s">
        <v>649</v>
      </c>
      <c r="B210" s="46" t="s">
        <v>81</v>
      </c>
      <c r="C210" s="54" t="s">
        <v>158</v>
      </c>
      <c r="D210" s="36" t="s">
        <v>141</v>
      </c>
      <c r="E210" s="36" t="s">
        <v>82</v>
      </c>
      <c r="F210" s="47">
        <f>'приложение 4'!G64</f>
        <v>9600</v>
      </c>
      <c r="G210" s="47">
        <f>'приложение 4'!H64</f>
        <v>9600</v>
      </c>
      <c r="H210" s="47">
        <f>'приложение 4'!I64</f>
        <v>9600</v>
      </c>
    </row>
    <row r="211" spans="1:8" s="44" customFormat="1" ht="31.5" x14ac:dyDescent="0.25">
      <c r="A211" s="40" t="s">
        <v>650</v>
      </c>
      <c r="B211" s="46" t="s">
        <v>138</v>
      </c>
      <c r="C211" s="54" t="s">
        <v>158</v>
      </c>
      <c r="D211" s="36" t="s">
        <v>139</v>
      </c>
      <c r="E211" s="36"/>
      <c r="F211" s="47">
        <f>F212</f>
        <v>3200</v>
      </c>
      <c r="G211" s="47">
        <f t="shared" ref="G211:H213" si="44">G212</f>
        <v>3200</v>
      </c>
      <c r="H211" s="47">
        <f t="shared" si="44"/>
        <v>3200</v>
      </c>
    </row>
    <row r="212" spans="1:8" s="44" customFormat="1" ht="31.5" x14ac:dyDescent="0.25">
      <c r="A212" s="40" t="s">
        <v>651</v>
      </c>
      <c r="B212" s="46" t="s">
        <v>140</v>
      </c>
      <c r="C212" s="54" t="s">
        <v>158</v>
      </c>
      <c r="D212" s="36" t="s">
        <v>141</v>
      </c>
      <c r="E212" s="36"/>
      <c r="F212" s="47">
        <f>F213</f>
        <v>3200</v>
      </c>
      <c r="G212" s="47">
        <f t="shared" si="44"/>
        <v>3200</v>
      </c>
      <c r="H212" s="47">
        <f t="shared" si="44"/>
        <v>3200</v>
      </c>
    </row>
    <row r="213" spans="1:8" s="44" customFormat="1" x14ac:dyDescent="0.25">
      <c r="A213" s="40" t="s">
        <v>652</v>
      </c>
      <c r="B213" s="46" t="s">
        <v>360</v>
      </c>
      <c r="C213" s="54" t="s">
        <v>158</v>
      </c>
      <c r="D213" s="36" t="s">
        <v>141</v>
      </c>
      <c r="E213" s="36" t="s">
        <v>72</v>
      </c>
      <c r="F213" s="47">
        <f>F214</f>
        <v>3200</v>
      </c>
      <c r="G213" s="47">
        <f t="shared" si="44"/>
        <v>3200</v>
      </c>
      <c r="H213" s="47">
        <f t="shared" si="44"/>
        <v>3200</v>
      </c>
    </row>
    <row r="214" spans="1:8" s="44" customFormat="1" x14ac:dyDescent="0.25">
      <c r="A214" s="40" t="s">
        <v>653</v>
      </c>
      <c r="B214" s="46" t="s">
        <v>81</v>
      </c>
      <c r="C214" s="54" t="s">
        <v>158</v>
      </c>
      <c r="D214" s="36" t="s">
        <v>141</v>
      </c>
      <c r="E214" s="36" t="s">
        <v>82</v>
      </c>
      <c r="F214" s="47">
        <f>'приложение 4'!G66</f>
        <v>3200</v>
      </c>
      <c r="G214" s="47">
        <f>'приложение 4'!H66</f>
        <v>3200</v>
      </c>
      <c r="H214" s="47">
        <f>'приложение 4'!I66</f>
        <v>3200</v>
      </c>
    </row>
    <row r="215" spans="1:8" s="44" customFormat="1" x14ac:dyDescent="0.25">
      <c r="A215" s="40" t="s">
        <v>654</v>
      </c>
      <c r="B215" s="46" t="s">
        <v>210</v>
      </c>
      <c r="C215" s="36"/>
      <c r="D215" s="36"/>
      <c r="E215" s="36"/>
      <c r="F215" s="47">
        <v>0</v>
      </c>
      <c r="G215" s="47">
        <f>'приложение 4'!H177</f>
        <v>127207</v>
      </c>
      <c r="H215" s="47">
        <f>'приложение 4'!I177</f>
        <v>250083</v>
      </c>
    </row>
    <row r="216" spans="1:8" s="44" customFormat="1" x14ac:dyDescent="0.25">
      <c r="A216" s="40"/>
      <c r="B216" s="41" t="s">
        <v>367</v>
      </c>
      <c r="C216" s="42"/>
      <c r="D216" s="42"/>
      <c r="E216" s="42"/>
      <c r="F216" s="43">
        <f>F10+F134+F122</f>
        <v>15734680.5</v>
      </c>
      <c r="G216" s="43">
        <f>G10+G134+G122+G215</f>
        <v>59956859</v>
      </c>
      <c r="H216" s="43">
        <f>H10+H134+H122+H215</f>
        <v>8116379</v>
      </c>
    </row>
    <row r="217" spans="1:8" hidden="1" x14ac:dyDescent="0.25">
      <c r="F217" s="55">
        <f>'приложение 4'!G178</f>
        <v>15734680.5</v>
      </c>
      <c r="G217" s="55">
        <f>'приложение 4'!H178</f>
        <v>59956859</v>
      </c>
      <c r="H217" s="55">
        <f>'приложение 4'!I178</f>
        <v>8116379</v>
      </c>
    </row>
    <row r="218" spans="1:8" hidden="1" x14ac:dyDescent="0.25">
      <c r="F218" s="55">
        <f>F216-F217</f>
        <v>0</v>
      </c>
      <c r="G218" s="55">
        <f>G216-G217</f>
        <v>0</v>
      </c>
      <c r="H218" s="55">
        <f>H216-H217</f>
        <v>0</v>
      </c>
    </row>
    <row r="219" spans="1:8" hidden="1" x14ac:dyDescent="0.25"/>
    <row r="220" spans="1:8" ht="15" customHeight="1" x14ac:dyDescent="0.25"/>
    <row r="221" spans="1:8" hidden="1" x14ac:dyDescent="0.25">
      <c r="F221" s="55">
        <f>F216-'приложение 4'!G178</f>
        <v>0</v>
      </c>
      <c r="G221" s="170">
        <f>G216-'приложение 4'!H178</f>
        <v>0</v>
      </c>
    </row>
    <row r="222" spans="1:8" hidden="1" x14ac:dyDescent="0.25">
      <c r="H222" s="170">
        <f>H216-'приложение 4'!I178</f>
        <v>0</v>
      </c>
    </row>
    <row r="223" spans="1:8" hidden="1" x14ac:dyDescent="0.25">
      <c r="F223" s="55"/>
    </row>
    <row r="224" spans="1:8" hidden="1" x14ac:dyDescent="0.25"/>
    <row r="225" hidden="1" x14ac:dyDescent="0.25"/>
    <row r="226" hidden="1" x14ac:dyDescent="0.25"/>
  </sheetData>
  <autoFilter ref="A9:F218"/>
  <mergeCells count="6">
    <mergeCell ref="A7:H7"/>
    <mergeCell ref="A1:H1"/>
    <mergeCell ref="A2:H2"/>
    <mergeCell ref="A3:H3"/>
    <mergeCell ref="A5:H5"/>
    <mergeCell ref="A6:H6"/>
  </mergeCells>
  <printOptions horizontalCentered="1"/>
  <pageMargins left="0.78740157480314965" right="3.937007874015748E-2" top="0.35433070866141736" bottom="0.55118110236220474" header="0.31496062992125984" footer="0.31496062992125984"/>
  <pageSetup paperSize="9" scale="64" firstPageNumber="1208" fitToHeight="0"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M18"/>
  <sheetViews>
    <sheetView zoomScale="70" zoomScaleNormal="70" workbookViewId="0">
      <selection activeCell="P18" sqref="P18"/>
    </sheetView>
  </sheetViews>
  <sheetFormatPr defaultRowHeight="18.75" x14ac:dyDescent="0.3"/>
  <cols>
    <col min="1" max="1" width="4.7109375" style="144" customWidth="1"/>
    <col min="2" max="2" width="86.28515625" style="155" customWidth="1"/>
    <col min="3" max="3" width="17.140625" style="144" customWidth="1"/>
    <col min="4" max="5" width="17.140625" style="138" customWidth="1"/>
    <col min="6" max="17" width="12.7109375" style="138" hidden="1" customWidth="1"/>
    <col min="18" max="18" width="14.28515625" style="138" hidden="1" customWidth="1"/>
    <col min="19" max="19" width="14" style="138" hidden="1" customWidth="1"/>
    <col min="20" max="20" width="7.7109375" style="138" hidden="1" customWidth="1"/>
    <col min="21" max="21" width="25.85546875" style="138" hidden="1" customWidth="1"/>
    <col min="22" max="22" width="9.140625" style="138" hidden="1" customWidth="1"/>
    <col min="23" max="23" width="13.85546875" style="138" hidden="1" customWidth="1"/>
    <col min="24" max="24" width="16.85546875" style="138" hidden="1" customWidth="1"/>
    <col min="25" max="25" width="9.140625" style="138" hidden="1" customWidth="1"/>
    <col min="26" max="27" width="17.140625" style="144" hidden="1" customWidth="1"/>
    <col min="28" max="36" width="0" style="138" hidden="1" customWidth="1"/>
    <col min="37" max="37" width="9.140625" style="138"/>
    <col min="38" max="38" width="13" style="138" hidden="1" customWidth="1"/>
    <col min="39" max="39" width="11.85546875" style="138" hidden="1" customWidth="1"/>
    <col min="40" max="40" width="0" style="138" hidden="1" customWidth="1"/>
    <col min="41" max="256" width="9.140625" style="138"/>
    <col min="257" max="257" width="4.7109375" style="138" customWidth="1"/>
    <col min="258" max="258" width="74" style="138" customWidth="1"/>
    <col min="259" max="259" width="14.7109375" style="138" customWidth="1"/>
    <col min="260" max="260" width="15.28515625" style="138" customWidth="1"/>
    <col min="261" max="261" width="12.85546875" style="138" customWidth="1"/>
    <col min="262" max="278" width="0" style="138" hidden="1" customWidth="1"/>
    <col min="279" max="512" width="9.140625" style="138"/>
    <col min="513" max="513" width="4.7109375" style="138" customWidth="1"/>
    <col min="514" max="514" width="74" style="138" customWidth="1"/>
    <col min="515" max="515" width="14.7109375" style="138" customWidth="1"/>
    <col min="516" max="516" width="15.28515625" style="138" customWidth="1"/>
    <col min="517" max="517" width="12.85546875" style="138" customWidth="1"/>
    <col min="518" max="534" width="0" style="138" hidden="1" customWidth="1"/>
    <col min="535" max="768" width="9.140625" style="138"/>
    <col min="769" max="769" width="4.7109375" style="138" customWidth="1"/>
    <col min="770" max="770" width="74" style="138" customWidth="1"/>
    <col min="771" max="771" width="14.7109375" style="138" customWidth="1"/>
    <col min="772" max="772" width="15.28515625" style="138" customWidth="1"/>
    <col min="773" max="773" width="12.85546875" style="138" customWidth="1"/>
    <col min="774" max="790" width="0" style="138" hidden="1" customWidth="1"/>
    <col min="791" max="1024" width="9.140625" style="138"/>
    <col min="1025" max="1025" width="4.7109375" style="138" customWidth="1"/>
    <col min="1026" max="1026" width="74" style="138" customWidth="1"/>
    <col min="1027" max="1027" width="14.7109375" style="138" customWidth="1"/>
    <col min="1028" max="1028" width="15.28515625" style="138" customWidth="1"/>
    <col min="1029" max="1029" width="12.85546875" style="138" customWidth="1"/>
    <col min="1030" max="1046" width="0" style="138" hidden="1" customWidth="1"/>
    <col min="1047" max="1280" width="9.140625" style="138"/>
    <col min="1281" max="1281" width="4.7109375" style="138" customWidth="1"/>
    <col min="1282" max="1282" width="74" style="138" customWidth="1"/>
    <col min="1283" max="1283" width="14.7109375" style="138" customWidth="1"/>
    <col min="1284" max="1284" width="15.28515625" style="138" customWidth="1"/>
    <col min="1285" max="1285" width="12.85546875" style="138" customWidth="1"/>
    <col min="1286" max="1302" width="0" style="138" hidden="1" customWidth="1"/>
    <col min="1303" max="1536" width="9.140625" style="138"/>
    <col min="1537" max="1537" width="4.7109375" style="138" customWidth="1"/>
    <col min="1538" max="1538" width="74" style="138" customWidth="1"/>
    <col min="1539" max="1539" width="14.7109375" style="138" customWidth="1"/>
    <col min="1540" max="1540" width="15.28515625" style="138" customWidth="1"/>
    <col min="1541" max="1541" width="12.85546875" style="138" customWidth="1"/>
    <col min="1542" max="1558" width="0" style="138" hidden="1" customWidth="1"/>
    <col min="1559" max="1792" width="9.140625" style="138"/>
    <col min="1793" max="1793" width="4.7109375" style="138" customWidth="1"/>
    <col min="1794" max="1794" width="74" style="138" customWidth="1"/>
    <col min="1795" max="1795" width="14.7109375" style="138" customWidth="1"/>
    <col min="1796" max="1796" width="15.28515625" style="138" customWidth="1"/>
    <col min="1797" max="1797" width="12.85546875" style="138" customWidth="1"/>
    <col min="1798" max="1814" width="0" style="138" hidden="1" customWidth="1"/>
    <col min="1815" max="2048" width="9.140625" style="138"/>
    <col min="2049" max="2049" width="4.7109375" style="138" customWidth="1"/>
    <col min="2050" max="2050" width="74" style="138" customWidth="1"/>
    <col min="2051" max="2051" width="14.7109375" style="138" customWidth="1"/>
    <col min="2052" max="2052" width="15.28515625" style="138" customWidth="1"/>
    <col min="2053" max="2053" width="12.85546875" style="138" customWidth="1"/>
    <col min="2054" max="2070" width="0" style="138" hidden="1" customWidth="1"/>
    <col min="2071" max="2304" width="9.140625" style="138"/>
    <col min="2305" max="2305" width="4.7109375" style="138" customWidth="1"/>
    <col min="2306" max="2306" width="74" style="138" customWidth="1"/>
    <col min="2307" max="2307" width="14.7109375" style="138" customWidth="1"/>
    <col min="2308" max="2308" width="15.28515625" style="138" customWidth="1"/>
    <col min="2309" max="2309" width="12.85546875" style="138" customWidth="1"/>
    <col min="2310" max="2326" width="0" style="138" hidden="1" customWidth="1"/>
    <col min="2327" max="2560" width="9.140625" style="138"/>
    <col min="2561" max="2561" width="4.7109375" style="138" customWidth="1"/>
    <col min="2562" max="2562" width="74" style="138" customWidth="1"/>
    <col min="2563" max="2563" width="14.7109375" style="138" customWidth="1"/>
    <col min="2564" max="2564" width="15.28515625" style="138" customWidth="1"/>
    <col min="2565" max="2565" width="12.85546875" style="138" customWidth="1"/>
    <col min="2566" max="2582" width="0" style="138" hidden="1" customWidth="1"/>
    <col min="2583" max="2816" width="9.140625" style="138"/>
    <col min="2817" max="2817" width="4.7109375" style="138" customWidth="1"/>
    <col min="2818" max="2818" width="74" style="138" customWidth="1"/>
    <col min="2819" max="2819" width="14.7109375" style="138" customWidth="1"/>
    <col min="2820" max="2820" width="15.28515625" style="138" customWidth="1"/>
    <col min="2821" max="2821" width="12.85546875" style="138" customWidth="1"/>
    <col min="2822" max="2838" width="0" style="138" hidden="1" customWidth="1"/>
    <col min="2839" max="3072" width="9.140625" style="138"/>
    <col min="3073" max="3073" width="4.7109375" style="138" customWidth="1"/>
    <col min="3074" max="3074" width="74" style="138" customWidth="1"/>
    <col min="3075" max="3075" width="14.7109375" style="138" customWidth="1"/>
    <col min="3076" max="3076" width="15.28515625" style="138" customWidth="1"/>
    <col min="3077" max="3077" width="12.85546875" style="138" customWidth="1"/>
    <col min="3078" max="3094" width="0" style="138" hidden="1" customWidth="1"/>
    <col min="3095" max="3328" width="9.140625" style="138"/>
    <col min="3329" max="3329" width="4.7109375" style="138" customWidth="1"/>
    <col min="3330" max="3330" width="74" style="138" customWidth="1"/>
    <col min="3331" max="3331" width="14.7109375" style="138" customWidth="1"/>
    <col min="3332" max="3332" width="15.28515625" style="138" customWidth="1"/>
    <col min="3333" max="3333" width="12.85546875" style="138" customWidth="1"/>
    <col min="3334" max="3350" width="0" style="138" hidden="1" customWidth="1"/>
    <col min="3351" max="3584" width="9.140625" style="138"/>
    <col min="3585" max="3585" width="4.7109375" style="138" customWidth="1"/>
    <col min="3586" max="3586" width="74" style="138" customWidth="1"/>
    <col min="3587" max="3587" width="14.7109375" style="138" customWidth="1"/>
    <col min="3588" max="3588" width="15.28515625" style="138" customWidth="1"/>
    <col min="3589" max="3589" width="12.85546875" style="138" customWidth="1"/>
    <col min="3590" max="3606" width="0" style="138" hidden="1" customWidth="1"/>
    <col min="3607" max="3840" width="9.140625" style="138"/>
    <col min="3841" max="3841" width="4.7109375" style="138" customWidth="1"/>
    <col min="3842" max="3842" width="74" style="138" customWidth="1"/>
    <col min="3843" max="3843" width="14.7109375" style="138" customWidth="1"/>
    <col min="3844" max="3844" width="15.28515625" style="138" customWidth="1"/>
    <col min="3845" max="3845" width="12.85546875" style="138" customWidth="1"/>
    <col min="3846" max="3862" width="0" style="138" hidden="1" customWidth="1"/>
    <col min="3863" max="4096" width="9.140625" style="138"/>
    <col min="4097" max="4097" width="4.7109375" style="138" customWidth="1"/>
    <col min="4098" max="4098" width="74" style="138" customWidth="1"/>
    <col min="4099" max="4099" width="14.7109375" style="138" customWidth="1"/>
    <col min="4100" max="4100" width="15.28515625" style="138" customWidth="1"/>
    <col min="4101" max="4101" width="12.85546875" style="138" customWidth="1"/>
    <col min="4102" max="4118" width="0" style="138" hidden="1" customWidth="1"/>
    <col min="4119" max="4352" width="9.140625" style="138"/>
    <col min="4353" max="4353" width="4.7109375" style="138" customWidth="1"/>
    <col min="4354" max="4354" width="74" style="138" customWidth="1"/>
    <col min="4355" max="4355" width="14.7109375" style="138" customWidth="1"/>
    <col min="4356" max="4356" width="15.28515625" style="138" customWidth="1"/>
    <col min="4357" max="4357" width="12.85546875" style="138" customWidth="1"/>
    <col min="4358" max="4374" width="0" style="138" hidden="1" customWidth="1"/>
    <col min="4375" max="4608" width="9.140625" style="138"/>
    <col min="4609" max="4609" width="4.7109375" style="138" customWidth="1"/>
    <col min="4610" max="4610" width="74" style="138" customWidth="1"/>
    <col min="4611" max="4611" width="14.7109375" style="138" customWidth="1"/>
    <col min="4612" max="4612" width="15.28515625" style="138" customWidth="1"/>
    <col min="4613" max="4613" width="12.85546875" style="138" customWidth="1"/>
    <col min="4614" max="4630" width="0" style="138" hidden="1" customWidth="1"/>
    <col min="4631" max="4864" width="9.140625" style="138"/>
    <col min="4865" max="4865" width="4.7109375" style="138" customWidth="1"/>
    <col min="4866" max="4866" width="74" style="138" customWidth="1"/>
    <col min="4867" max="4867" width="14.7109375" style="138" customWidth="1"/>
    <col min="4868" max="4868" width="15.28515625" style="138" customWidth="1"/>
    <col min="4869" max="4869" width="12.85546875" style="138" customWidth="1"/>
    <col min="4870" max="4886" width="0" style="138" hidden="1" customWidth="1"/>
    <col min="4887" max="5120" width="9.140625" style="138"/>
    <col min="5121" max="5121" width="4.7109375" style="138" customWidth="1"/>
    <col min="5122" max="5122" width="74" style="138" customWidth="1"/>
    <col min="5123" max="5123" width="14.7109375" style="138" customWidth="1"/>
    <col min="5124" max="5124" width="15.28515625" style="138" customWidth="1"/>
    <col min="5125" max="5125" width="12.85546875" style="138" customWidth="1"/>
    <col min="5126" max="5142" width="0" style="138" hidden="1" customWidth="1"/>
    <col min="5143" max="5376" width="9.140625" style="138"/>
    <col min="5377" max="5377" width="4.7109375" style="138" customWidth="1"/>
    <col min="5378" max="5378" width="74" style="138" customWidth="1"/>
    <col min="5379" max="5379" width="14.7109375" style="138" customWidth="1"/>
    <col min="5380" max="5380" width="15.28515625" style="138" customWidth="1"/>
    <col min="5381" max="5381" width="12.85546875" style="138" customWidth="1"/>
    <col min="5382" max="5398" width="0" style="138" hidden="1" customWidth="1"/>
    <col min="5399" max="5632" width="9.140625" style="138"/>
    <col min="5633" max="5633" width="4.7109375" style="138" customWidth="1"/>
    <col min="5634" max="5634" width="74" style="138" customWidth="1"/>
    <col min="5635" max="5635" width="14.7109375" style="138" customWidth="1"/>
    <col min="5636" max="5636" width="15.28515625" style="138" customWidth="1"/>
    <col min="5637" max="5637" width="12.85546875" style="138" customWidth="1"/>
    <col min="5638" max="5654" width="0" style="138" hidden="1" customWidth="1"/>
    <col min="5655" max="5888" width="9.140625" style="138"/>
    <col min="5889" max="5889" width="4.7109375" style="138" customWidth="1"/>
    <col min="5890" max="5890" width="74" style="138" customWidth="1"/>
    <col min="5891" max="5891" width="14.7109375" style="138" customWidth="1"/>
    <col min="5892" max="5892" width="15.28515625" style="138" customWidth="1"/>
    <col min="5893" max="5893" width="12.85546875" style="138" customWidth="1"/>
    <col min="5894" max="5910" width="0" style="138" hidden="1" customWidth="1"/>
    <col min="5911" max="6144" width="9.140625" style="138"/>
    <col min="6145" max="6145" width="4.7109375" style="138" customWidth="1"/>
    <col min="6146" max="6146" width="74" style="138" customWidth="1"/>
    <col min="6147" max="6147" width="14.7109375" style="138" customWidth="1"/>
    <col min="6148" max="6148" width="15.28515625" style="138" customWidth="1"/>
    <col min="6149" max="6149" width="12.85546875" style="138" customWidth="1"/>
    <col min="6150" max="6166" width="0" style="138" hidden="1" customWidth="1"/>
    <col min="6167" max="6400" width="9.140625" style="138"/>
    <col min="6401" max="6401" width="4.7109375" style="138" customWidth="1"/>
    <col min="6402" max="6402" width="74" style="138" customWidth="1"/>
    <col min="6403" max="6403" width="14.7109375" style="138" customWidth="1"/>
    <col min="6404" max="6404" width="15.28515625" style="138" customWidth="1"/>
    <col min="6405" max="6405" width="12.85546875" style="138" customWidth="1"/>
    <col min="6406" max="6422" width="0" style="138" hidden="1" customWidth="1"/>
    <col min="6423" max="6656" width="9.140625" style="138"/>
    <col min="6657" max="6657" width="4.7109375" style="138" customWidth="1"/>
    <col min="6658" max="6658" width="74" style="138" customWidth="1"/>
    <col min="6659" max="6659" width="14.7109375" style="138" customWidth="1"/>
    <col min="6660" max="6660" width="15.28515625" style="138" customWidth="1"/>
    <col min="6661" max="6661" width="12.85546875" style="138" customWidth="1"/>
    <col min="6662" max="6678" width="0" style="138" hidden="1" customWidth="1"/>
    <col min="6679" max="6912" width="9.140625" style="138"/>
    <col min="6913" max="6913" width="4.7109375" style="138" customWidth="1"/>
    <col min="6914" max="6914" width="74" style="138" customWidth="1"/>
    <col min="6915" max="6915" width="14.7109375" style="138" customWidth="1"/>
    <col min="6916" max="6916" width="15.28515625" style="138" customWidth="1"/>
    <col min="6917" max="6917" width="12.85546875" style="138" customWidth="1"/>
    <col min="6918" max="6934" width="0" style="138" hidden="1" customWidth="1"/>
    <col min="6935" max="7168" width="9.140625" style="138"/>
    <col min="7169" max="7169" width="4.7109375" style="138" customWidth="1"/>
    <col min="7170" max="7170" width="74" style="138" customWidth="1"/>
    <col min="7171" max="7171" width="14.7109375" style="138" customWidth="1"/>
    <col min="7172" max="7172" width="15.28515625" style="138" customWidth="1"/>
    <col min="7173" max="7173" width="12.85546875" style="138" customWidth="1"/>
    <col min="7174" max="7190" width="0" style="138" hidden="1" customWidth="1"/>
    <col min="7191" max="7424" width="9.140625" style="138"/>
    <col min="7425" max="7425" width="4.7109375" style="138" customWidth="1"/>
    <col min="7426" max="7426" width="74" style="138" customWidth="1"/>
    <col min="7427" max="7427" width="14.7109375" style="138" customWidth="1"/>
    <col min="7428" max="7428" width="15.28515625" style="138" customWidth="1"/>
    <col min="7429" max="7429" width="12.85546875" style="138" customWidth="1"/>
    <col min="7430" max="7446" width="0" style="138" hidden="1" customWidth="1"/>
    <col min="7447" max="7680" width="9.140625" style="138"/>
    <col min="7681" max="7681" width="4.7109375" style="138" customWidth="1"/>
    <col min="7682" max="7682" width="74" style="138" customWidth="1"/>
    <col min="7683" max="7683" width="14.7109375" style="138" customWidth="1"/>
    <col min="7684" max="7684" width="15.28515625" style="138" customWidth="1"/>
    <col min="7685" max="7685" width="12.85546875" style="138" customWidth="1"/>
    <col min="7686" max="7702" width="0" style="138" hidden="1" customWidth="1"/>
    <col min="7703" max="7936" width="9.140625" style="138"/>
    <col min="7937" max="7937" width="4.7109375" style="138" customWidth="1"/>
    <col min="7938" max="7938" width="74" style="138" customWidth="1"/>
    <col min="7939" max="7939" width="14.7109375" style="138" customWidth="1"/>
    <col min="7940" max="7940" width="15.28515625" style="138" customWidth="1"/>
    <col min="7941" max="7941" width="12.85546875" style="138" customWidth="1"/>
    <col min="7942" max="7958" width="0" style="138" hidden="1" customWidth="1"/>
    <col min="7959" max="8192" width="9.140625" style="138"/>
    <col min="8193" max="8193" width="4.7109375" style="138" customWidth="1"/>
    <col min="8194" max="8194" width="74" style="138" customWidth="1"/>
    <col min="8195" max="8195" width="14.7109375" style="138" customWidth="1"/>
    <col min="8196" max="8196" width="15.28515625" style="138" customWidth="1"/>
    <col min="8197" max="8197" width="12.85546875" style="138" customWidth="1"/>
    <col min="8198" max="8214" width="0" style="138" hidden="1" customWidth="1"/>
    <col min="8215" max="8448" width="9.140625" style="138"/>
    <col min="8449" max="8449" width="4.7109375" style="138" customWidth="1"/>
    <col min="8450" max="8450" width="74" style="138" customWidth="1"/>
    <col min="8451" max="8451" width="14.7109375" style="138" customWidth="1"/>
    <col min="8452" max="8452" width="15.28515625" style="138" customWidth="1"/>
    <col min="8453" max="8453" width="12.85546875" style="138" customWidth="1"/>
    <col min="8454" max="8470" width="0" style="138" hidden="1" customWidth="1"/>
    <col min="8471" max="8704" width="9.140625" style="138"/>
    <col min="8705" max="8705" width="4.7109375" style="138" customWidth="1"/>
    <col min="8706" max="8706" width="74" style="138" customWidth="1"/>
    <col min="8707" max="8707" width="14.7109375" style="138" customWidth="1"/>
    <col min="8708" max="8708" width="15.28515625" style="138" customWidth="1"/>
    <col min="8709" max="8709" width="12.85546875" style="138" customWidth="1"/>
    <col min="8710" max="8726" width="0" style="138" hidden="1" customWidth="1"/>
    <col min="8727" max="8960" width="9.140625" style="138"/>
    <col min="8961" max="8961" width="4.7109375" style="138" customWidth="1"/>
    <col min="8962" max="8962" width="74" style="138" customWidth="1"/>
    <col min="8963" max="8963" width="14.7109375" style="138" customWidth="1"/>
    <col min="8964" max="8964" width="15.28515625" style="138" customWidth="1"/>
    <col min="8965" max="8965" width="12.85546875" style="138" customWidth="1"/>
    <col min="8966" max="8982" width="0" style="138" hidden="1" customWidth="1"/>
    <col min="8983" max="9216" width="9.140625" style="138"/>
    <col min="9217" max="9217" width="4.7109375" style="138" customWidth="1"/>
    <col min="9218" max="9218" width="74" style="138" customWidth="1"/>
    <col min="9219" max="9219" width="14.7109375" style="138" customWidth="1"/>
    <col min="9220" max="9220" width="15.28515625" style="138" customWidth="1"/>
    <col min="9221" max="9221" width="12.85546875" style="138" customWidth="1"/>
    <col min="9222" max="9238" width="0" style="138" hidden="1" customWidth="1"/>
    <col min="9239" max="9472" width="9.140625" style="138"/>
    <col min="9473" max="9473" width="4.7109375" style="138" customWidth="1"/>
    <col min="9474" max="9474" width="74" style="138" customWidth="1"/>
    <col min="9475" max="9475" width="14.7109375" style="138" customWidth="1"/>
    <col min="9476" max="9476" width="15.28515625" style="138" customWidth="1"/>
    <col min="9477" max="9477" width="12.85546875" style="138" customWidth="1"/>
    <col min="9478" max="9494" width="0" style="138" hidden="1" customWidth="1"/>
    <col min="9495" max="9728" width="9.140625" style="138"/>
    <col min="9729" max="9729" width="4.7109375" style="138" customWidth="1"/>
    <col min="9730" max="9730" width="74" style="138" customWidth="1"/>
    <col min="9731" max="9731" width="14.7109375" style="138" customWidth="1"/>
    <col min="9732" max="9732" width="15.28515625" style="138" customWidth="1"/>
    <col min="9733" max="9733" width="12.85546875" style="138" customWidth="1"/>
    <col min="9734" max="9750" width="0" style="138" hidden="1" customWidth="1"/>
    <col min="9751" max="9984" width="9.140625" style="138"/>
    <col min="9985" max="9985" width="4.7109375" style="138" customWidth="1"/>
    <col min="9986" max="9986" width="74" style="138" customWidth="1"/>
    <col min="9987" max="9987" width="14.7109375" style="138" customWidth="1"/>
    <col min="9988" max="9988" width="15.28515625" style="138" customWidth="1"/>
    <col min="9989" max="9989" width="12.85546875" style="138" customWidth="1"/>
    <col min="9990" max="10006" width="0" style="138" hidden="1" customWidth="1"/>
    <col min="10007" max="10240" width="9.140625" style="138"/>
    <col min="10241" max="10241" width="4.7109375" style="138" customWidth="1"/>
    <col min="10242" max="10242" width="74" style="138" customWidth="1"/>
    <col min="10243" max="10243" width="14.7109375" style="138" customWidth="1"/>
    <col min="10244" max="10244" width="15.28515625" style="138" customWidth="1"/>
    <col min="10245" max="10245" width="12.85546875" style="138" customWidth="1"/>
    <col min="10246" max="10262" width="0" style="138" hidden="1" customWidth="1"/>
    <col min="10263" max="10496" width="9.140625" style="138"/>
    <col min="10497" max="10497" width="4.7109375" style="138" customWidth="1"/>
    <col min="10498" max="10498" width="74" style="138" customWidth="1"/>
    <col min="10499" max="10499" width="14.7109375" style="138" customWidth="1"/>
    <col min="10500" max="10500" width="15.28515625" style="138" customWidth="1"/>
    <col min="10501" max="10501" width="12.85546875" style="138" customWidth="1"/>
    <col min="10502" max="10518" width="0" style="138" hidden="1" customWidth="1"/>
    <col min="10519" max="10752" width="9.140625" style="138"/>
    <col min="10753" max="10753" width="4.7109375" style="138" customWidth="1"/>
    <col min="10754" max="10754" width="74" style="138" customWidth="1"/>
    <col min="10755" max="10755" width="14.7109375" style="138" customWidth="1"/>
    <col min="10756" max="10756" width="15.28515625" style="138" customWidth="1"/>
    <col min="10757" max="10757" width="12.85546875" style="138" customWidth="1"/>
    <col min="10758" max="10774" width="0" style="138" hidden="1" customWidth="1"/>
    <col min="10775" max="11008" width="9.140625" style="138"/>
    <col min="11009" max="11009" width="4.7109375" style="138" customWidth="1"/>
    <col min="11010" max="11010" width="74" style="138" customWidth="1"/>
    <col min="11011" max="11011" width="14.7109375" style="138" customWidth="1"/>
    <col min="11012" max="11012" width="15.28515625" style="138" customWidth="1"/>
    <col min="11013" max="11013" width="12.85546875" style="138" customWidth="1"/>
    <col min="11014" max="11030" width="0" style="138" hidden="1" customWidth="1"/>
    <col min="11031" max="11264" width="9.140625" style="138"/>
    <col min="11265" max="11265" width="4.7109375" style="138" customWidth="1"/>
    <col min="11266" max="11266" width="74" style="138" customWidth="1"/>
    <col min="11267" max="11267" width="14.7109375" style="138" customWidth="1"/>
    <col min="11268" max="11268" width="15.28515625" style="138" customWidth="1"/>
    <col min="11269" max="11269" width="12.85546875" style="138" customWidth="1"/>
    <col min="11270" max="11286" width="0" style="138" hidden="1" customWidth="1"/>
    <col min="11287" max="11520" width="9.140625" style="138"/>
    <col min="11521" max="11521" width="4.7109375" style="138" customWidth="1"/>
    <col min="11522" max="11522" width="74" style="138" customWidth="1"/>
    <col min="11523" max="11523" width="14.7109375" style="138" customWidth="1"/>
    <col min="11524" max="11524" width="15.28515625" style="138" customWidth="1"/>
    <col min="11525" max="11525" width="12.85546875" style="138" customWidth="1"/>
    <col min="11526" max="11542" width="0" style="138" hidden="1" customWidth="1"/>
    <col min="11543" max="11776" width="9.140625" style="138"/>
    <col min="11777" max="11777" width="4.7109375" style="138" customWidth="1"/>
    <col min="11778" max="11778" width="74" style="138" customWidth="1"/>
    <col min="11779" max="11779" width="14.7109375" style="138" customWidth="1"/>
    <col min="11780" max="11780" width="15.28515625" style="138" customWidth="1"/>
    <col min="11781" max="11781" width="12.85546875" style="138" customWidth="1"/>
    <col min="11782" max="11798" width="0" style="138" hidden="1" customWidth="1"/>
    <col min="11799" max="12032" width="9.140625" style="138"/>
    <col min="12033" max="12033" width="4.7109375" style="138" customWidth="1"/>
    <col min="12034" max="12034" width="74" style="138" customWidth="1"/>
    <col min="12035" max="12035" width="14.7109375" style="138" customWidth="1"/>
    <col min="12036" max="12036" width="15.28515625" style="138" customWidth="1"/>
    <col min="12037" max="12037" width="12.85546875" style="138" customWidth="1"/>
    <col min="12038" max="12054" width="0" style="138" hidden="1" customWidth="1"/>
    <col min="12055" max="12288" width="9.140625" style="138"/>
    <col min="12289" max="12289" width="4.7109375" style="138" customWidth="1"/>
    <col min="12290" max="12290" width="74" style="138" customWidth="1"/>
    <col min="12291" max="12291" width="14.7109375" style="138" customWidth="1"/>
    <col min="12292" max="12292" width="15.28515625" style="138" customWidth="1"/>
    <col min="12293" max="12293" width="12.85546875" style="138" customWidth="1"/>
    <col min="12294" max="12310" width="0" style="138" hidden="1" customWidth="1"/>
    <col min="12311" max="12544" width="9.140625" style="138"/>
    <col min="12545" max="12545" width="4.7109375" style="138" customWidth="1"/>
    <col min="12546" max="12546" width="74" style="138" customWidth="1"/>
    <col min="12547" max="12547" width="14.7109375" style="138" customWidth="1"/>
    <col min="12548" max="12548" width="15.28515625" style="138" customWidth="1"/>
    <col min="12549" max="12549" width="12.85546875" style="138" customWidth="1"/>
    <col min="12550" max="12566" width="0" style="138" hidden="1" customWidth="1"/>
    <col min="12567" max="12800" width="9.140625" style="138"/>
    <col min="12801" max="12801" width="4.7109375" style="138" customWidth="1"/>
    <col min="12802" max="12802" width="74" style="138" customWidth="1"/>
    <col min="12803" max="12803" width="14.7109375" style="138" customWidth="1"/>
    <col min="12804" max="12804" width="15.28515625" style="138" customWidth="1"/>
    <col min="12805" max="12805" width="12.85546875" style="138" customWidth="1"/>
    <col min="12806" max="12822" width="0" style="138" hidden="1" customWidth="1"/>
    <col min="12823" max="13056" width="9.140625" style="138"/>
    <col min="13057" max="13057" width="4.7109375" style="138" customWidth="1"/>
    <col min="13058" max="13058" width="74" style="138" customWidth="1"/>
    <col min="13059" max="13059" width="14.7109375" style="138" customWidth="1"/>
    <col min="13060" max="13060" width="15.28515625" style="138" customWidth="1"/>
    <col min="13061" max="13061" width="12.85546875" style="138" customWidth="1"/>
    <col min="13062" max="13078" width="0" style="138" hidden="1" customWidth="1"/>
    <col min="13079" max="13312" width="9.140625" style="138"/>
    <col min="13313" max="13313" width="4.7109375" style="138" customWidth="1"/>
    <col min="13314" max="13314" width="74" style="138" customWidth="1"/>
    <col min="13315" max="13315" width="14.7109375" style="138" customWidth="1"/>
    <col min="13316" max="13316" width="15.28515625" style="138" customWidth="1"/>
    <col min="13317" max="13317" width="12.85546875" style="138" customWidth="1"/>
    <col min="13318" max="13334" width="0" style="138" hidden="1" customWidth="1"/>
    <col min="13335" max="13568" width="9.140625" style="138"/>
    <col min="13569" max="13569" width="4.7109375" style="138" customWidth="1"/>
    <col min="13570" max="13570" width="74" style="138" customWidth="1"/>
    <col min="13571" max="13571" width="14.7109375" style="138" customWidth="1"/>
    <col min="13572" max="13572" width="15.28515625" style="138" customWidth="1"/>
    <col min="13573" max="13573" width="12.85546875" style="138" customWidth="1"/>
    <col min="13574" max="13590" width="0" style="138" hidden="1" customWidth="1"/>
    <col min="13591" max="13824" width="9.140625" style="138"/>
    <col min="13825" max="13825" width="4.7109375" style="138" customWidth="1"/>
    <col min="13826" max="13826" width="74" style="138" customWidth="1"/>
    <col min="13827" max="13827" width="14.7109375" style="138" customWidth="1"/>
    <col min="13828" max="13828" width="15.28515625" style="138" customWidth="1"/>
    <col min="13829" max="13829" width="12.85546875" style="138" customWidth="1"/>
    <col min="13830" max="13846" width="0" style="138" hidden="1" customWidth="1"/>
    <col min="13847" max="14080" width="9.140625" style="138"/>
    <col min="14081" max="14081" width="4.7109375" style="138" customWidth="1"/>
    <col min="14082" max="14082" width="74" style="138" customWidth="1"/>
    <col min="14083" max="14083" width="14.7109375" style="138" customWidth="1"/>
    <col min="14084" max="14084" width="15.28515625" style="138" customWidth="1"/>
    <col min="14085" max="14085" width="12.85546875" style="138" customWidth="1"/>
    <col min="14086" max="14102" width="0" style="138" hidden="1" customWidth="1"/>
    <col min="14103" max="14336" width="9.140625" style="138"/>
    <col min="14337" max="14337" width="4.7109375" style="138" customWidth="1"/>
    <col min="14338" max="14338" width="74" style="138" customWidth="1"/>
    <col min="14339" max="14339" width="14.7109375" style="138" customWidth="1"/>
    <col min="14340" max="14340" width="15.28515625" style="138" customWidth="1"/>
    <col min="14341" max="14341" width="12.85546875" style="138" customWidth="1"/>
    <col min="14342" max="14358" width="0" style="138" hidden="1" customWidth="1"/>
    <col min="14359" max="14592" width="9.140625" style="138"/>
    <col min="14593" max="14593" width="4.7109375" style="138" customWidth="1"/>
    <col min="14594" max="14594" width="74" style="138" customWidth="1"/>
    <col min="14595" max="14595" width="14.7109375" style="138" customWidth="1"/>
    <col min="14596" max="14596" width="15.28515625" style="138" customWidth="1"/>
    <col min="14597" max="14597" width="12.85546875" style="138" customWidth="1"/>
    <col min="14598" max="14614" width="0" style="138" hidden="1" customWidth="1"/>
    <col min="14615" max="14848" width="9.140625" style="138"/>
    <col min="14849" max="14849" width="4.7109375" style="138" customWidth="1"/>
    <col min="14850" max="14850" width="74" style="138" customWidth="1"/>
    <col min="14851" max="14851" width="14.7109375" style="138" customWidth="1"/>
    <col min="14852" max="14852" width="15.28515625" style="138" customWidth="1"/>
    <col min="14853" max="14853" width="12.85546875" style="138" customWidth="1"/>
    <col min="14854" max="14870" width="0" style="138" hidden="1" customWidth="1"/>
    <col min="14871" max="15104" width="9.140625" style="138"/>
    <col min="15105" max="15105" width="4.7109375" style="138" customWidth="1"/>
    <col min="15106" max="15106" width="74" style="138" customWidth="1"/>
    <col min="15107" max="15107" width="14.7109375" style="138" customWidth="1"/>
    <col min="15108" max="15108" width="15.28515625" style="138" customWidth="1"/>
    <col min="15109" max="15109" width="12.85546875" style="138" customWidth="1"/>
    <col min="15110" max="15126" width="0" style="138" hidden="1" customWidth="1"/>
    <col min="15127" max="15360" width="9.140625" style="138"/>
    <col min="15361" max="15361" width="4.7109375" style="138" customWidth="1"/>
    <col min="15362" max="15362" width="74" style="138" customWidth="1"/>
    <col min="15363" max="15363" width="14.7109375" style="138" customWidth="1"/>
    <col min="15364" max="15364" width="15.28515625" style="138" customWidth="1"/>
    <col min="15365" max="15365" width="12.85546875" style="138" customWidth="1"/>
    <col min="15366" max="15382" width="0" style="138" hidden="1" customWidth="1"/>
    <col min="15383" max="15616" width="9.140625" style="138"/>
    <col min="15617" max="15617" width="4.7109375" style="138" customWidth="1"/>
    <col min="15618" max="15618" width="74" style="138" customWidth="1"/>
    <col min="15619" max="15619" width="14.7109375" style="138" customWidth="1"/>
    <col min="15620" max="15620" width="15.28515625" style="138" customWidth="1"/>
    <col min="15621" max="15621" width="12.85546875" style="138" customWidth="1"/>
    <col min="15622" max="15638" width="0" style="138" hidden="1" customWidth="1"/>
    <col min="15639" max="15872" width="9.140625" style="138"/>
    <col min="15873" max="15873" width="4.7109375" style="138" customWidth="1"/>
    <col min="15874" max="15874" width="74" style="138" customWidth="1"/>
    <col min="15875" max="15875" width="14.7109375" style="138" customWidth="1"/>
    <col min="15876" max="15876" width="15.28515625" style="138" customWidth="1"/>
    <col min="15877" max="15877" width="12.85546875" style="138" customWidth="1"/>
    <col min="15878" max="15894" width="0" style="138" hidden="1" customWidth="1"/>
    <col min="15895" max="16128" width="9.140625" style="138"/>
    <col min="16129" max="16129" width="4.7109375" style="138" customWidth="1"/>
    <col min="16130" max="16130" width="74" style="138" customWidth="1"/>
    <col min="16131" max="16131" width="14.7109375" style="138" customWidth="1"/>
    <col min="16132" max="16132" width="15.28515625" style="138" customWidth="1"/>
    <col min="16133" max="16133" width="12.85546875" style="138" customWidth="1"/>
    <col min="16134" max="16150" width="0" style="138" hidden="1" customWidth="1"/>
    <col min="16151" max="16384" width="9.140625" style="138"/>
  </cols>
  <sheetData>
    <row r="1" spans="1:39" ht="15.75" customHeight="1" x14ac:dyDescent="0.3">
      <c r="A1" s="222" t="s">
        <v>115</v>
      </c>
      <c r="B1" s="223"/>
      <c r="C1" s="223"/>
      <c r="D1" s="223"/>
      <c r="E1" s="223"/>
      <c r="Z1" s="138"/>
      <c r="AA1" s="138"/>
    </row>
    <row r="2" spans="1:39" ht="15.75" customHeight="1" x14ac:dyDescent="0.3">
      <c r="A2" s="224" t="s">
        <v>0</v>
      </c>
      <c r="B2" s="223"/>
      <c r="C2" s="223"/>
      <c r="D2" s="223"/>
      <c r="E2" s="223"/>
      <c r="Z2" s="138"/>
      <c r="AA2" s="138"/>
    </row>
    <row r="3" spans="1:39" ht="23.25" customHeight="1" x14ac:dyDescent="0.3">
      <c r="A3" s="224" t="s">
        <v>658</v>
      </c>
      <c r="B3" s="223"/>
      <c r="C3" s="223"/>
      <c r="D3" s="223"/>
      <c r="E3" s="223"/>
      <c r="Z3" s="138"/>
      <c r="AA3" s="138"/>
    </row>
    <row r="4" spans="1:39" ht="129" customHeight="1" x14ac:dyDescent="0.4">
      <c r="A4" s="225" t="s">
        <v>492</v>
      </c>
      <c r="B4" s="226"/>
      <c r="C4" s="226"/>
      <c r="D4" s="226"/>
      <c r="E4" s="226"/>
      <c r="Z4" s="138"/>
      <c r="AA4" s="138"/>
    </row>
    <row r="5" spans="1:39" ht="56.25" x14ac:dyDescent="0.3">
      <c r="A5" s="139" t="s">
        <v>6</v>
      </c>
      <c r="B5" s="139" t="s">
        <v>7</v>
      </c>
      <c r="C5" s="140" t="s">
        <v>30</v>
      </c>
      <c r="D5" s="141" t="s">
        <v>465</v>
      </c>
      <c r="E5" s="141" t="s">
        <v>493</v>
      </c>
      <c r="F5" s="142" t="s">
        <v>9</v>
      </c>
      <c r="G5" s="142" t="s">
        <v>10</v>
      </c>
      <c r="H5" s="142" t="s">
        <v>11</v>
      </c>
      <c r="I5" s="142" t="s">
        <v>12</v>
      </c>
      <c r="J5" s="142" t="s">
        <v>13</v>
      </c>
      <c r="K5" s="142" t="s">
        <v>14</v>
      </c>
      <c r="L5" s="142" t="s">
        <v>15</v>
      </c>
      <c r="M5" s="142" t="s">
        <v>16</v>
      </c>
      <c r="N5" s="142" t="s">
        <v>17</v>
      </c>
      <c r="O5" s="142" t="s">
        <v>18</v>
      </c>
      <c r="P5" s="142" t="s">
        <v>19</v>
      </c>
      <c r="Q5" s="142" t="s">
        <v>20</v>
      </c>
      <c r="R5" s="142"/>
      <c r="T5" s="143" t="s">
        <v>21</v>
      </c>
      <c r="U5" s="144" t="s">
        <v>22</v>
      </c>
      <c r="Z5" s="140" t="s">
        <v>8</v>
      </c>
      <c r="AA5" s="140" t="s">
        <v>496</v>
      </c>
    </row>
    <row r="6" spans="1:39" ht="12" customHeight="1" x14ac:dyDescent="0.3">
      <c r="A6" s="141">
        <v>1</v>
      </c>
      <c r="B6" s="139">
        <v>2</v>
      </c>
      <c r="C6" s="140">
        <v>3</v>
      </c>
      <c r="D6" s="141">
        <v>4</v>
      </c>
      <c r="E6" s="141">
        <v>5</v>
      </c>
      <c r="F6" s="142"/>
      <c r="G6" s="142"/>
      <c r="H6" s="142"/>
      <c r="I6" s="142"/>
      <c r="J6" s="142"/>
      <c r="K6" s="142"/>
      <c r="L6" s="142"/>
      <c r="M6" s="142"/>
      <c r="N6" s="142"/>
      <c r="O6" s="142"/>
      <c r="P6" s="142"/>
      <c r="Q6" s="142"/>
      <c r="R6" s="142"/>
      <c r="Z6" s="140"/>
      <c r="AA6" s="140"/>
    </row>
    <row r="7" spans="1:39" ht="112.5" x14ac:dyDescent="0.3">
      <c r="A7" s="141">
        <v>1</v>
      </c>
      <c r="B7" s="122" t="s">
        <v>481</v>
      </c>
      <c r="C7" s="145">
        <v>63099</v>
      </c>
      <c r="D7" s="145">
        <v>63099</v>
      </c>
      <c r="E7" s="145">
        <v>63099</v>
      </c>
      <c r="F7" s="146">
        <v>5042</v>
      </c>
      <c r="G7" s="146">
        <v>5042</v>
      </c>
      <c r="H7" s="146">
        <v>5042</v>
      </c>
      <c r="I7" s="146">
        <v>5042</v>
      </c>
      <c r="J7" s="146">
        <v>5042</v>
      </c>
      <c r="K7" s="146">
        <v>5042</v>
      </c>
      <c r="L7" s="146">
        <v>5042</v>
      </c>
      <c r="M7" s="146">
        <v>5042</v>
      </c>
      <c r="N7" s="146">
        <v>5042</v>
      </c>
      <c r="O7" s="146">
        <v>5042</v>
      </c>
      <c r="P7" s="146">
        <v>5042</v>
      </c>
      <c r="Q7" s="146">
        <v>5036</v>
      </c>
      <c r="R7" s="146">
        <f t="shared" ref="R7:R13" si="0">SUM(F7:Q7)</f>
        <v>60498</v>
      </c>
      <c r="S7" s="147">
        <f t="shared" ref="S7:S15" si="1">C7-R7</f>
        <v>2601</v>
      </c>
      <c r="T7" s="144">
        <v>4</v>
      </c>
      <c r="U7" s="144" t="s">
        <v>23</v>
      </c>
      <c r="W7" s="138">
        <f>Z7/12</f>
        <v>5041.5</v>
      </c>
      <c r="X7" s="147">
        <f t="shared" ref="X7:X14" si="2">C7-W7</f>
        <v>58057.5</v>
      </c>
      <c r="Z7" s="123">
        <v>60498</v>
      </c>
      <c r="AA7" s="123">
        <f t="shared" ref="AA7:AA14" si="3">C7-Z7</f>
        <v>2601</v>
      </c>
      <c r="AL7" s="147">
        <v>63099</v>
      </c>
      <c r="AM7" s="147">
        <f>AL7-C7</f>
        <v>0</v>
      </c>
    </row>
    <row r="8" spans="1:39" ht="93.75" x14ac:dyDescent="0.3">
      <c r="A8" s="141">
        <v>2</v>
      </c>
      <c r="B8" s="148" t="s">
        <v>480</v>
      </c>
      <c r="C8" s="145">
        <v>63099</v>
      </c>
      <c r="D8" s="145">
        <v>63099</v>
      </c>
      <c r="E8" s="145">
        <v>63099</v>
      </c>
      <c r="F8" s="146">
        <v>5042</v>
      </c>
      <c r="G8" s="146">
        <v>5042</v>
      </c>
      <c r="H8" s="146">
        <v>5042</v>
      </c>
      <c r="I8" s="146">
        <v>5042</v>
      </c>
      <c r="J8" s="146">
        <v>5042</v>
      </c>
      <c r="K8" s="146">
        <v>5042</v>
      </c>
      <c r="L8" s="146">
        <v>5042</v>
      </c>
      <c r="M8" s="146">
        <v>5042</v>
      </c>
      <c r="N8" s="146">
        <v>5042</v>
      </c>
      <c r="O8" s="146">
        <v>5042</v>
      </c>
      <c r="P8" s="146">
        <v>5042</v>
      </c>
      <c r="Q8" s="146">
        <v>5036</v>
      </c>
      <c r="R8" s="146">
        <f t="shared" si="0"/>
        <v>60498</v>
      </c>
      <c r="S8" s="147">
        <f t="shared" si="1"/>
        <v>2601</v>
      </c>
      <c r="T8" s="144">
        <v>3</v>
      </c>
      <c r="U8" s="144" t="s">
        <v>24</v>
      </c>
      <c r="W8" s="138">
        <f t="shared" ref="W8:W14" si="4">Z8/12</f>
        <v>5041.5</v>
      </c>
      <c r="X8" s="147">
        <f t="shared" si="2"/>
        <v>58057.5</v>
      </c>
      <c r="Z8" s="123">
        <v>60498</v>
      </c>
      <c r="AA8" s="123">
        <f t="shared" si="3"/>
        <v>2601</v>
      </c>
      <c r="AL8" s="147">
        <v>63099</v>
      </c>
      <c r="AM8" s="147">
        <f t="shared" ref="AM8:AM13" si="5">AL8-C8</f>
        <v>0</v>
      </c>
    </row>
    <row r="9" spans="1:39" ht="112.5" x14ac:dyDescent="0.3">
      <c r="A9" s="141">
        <v>3</v>
      </c>
      <c r="B9" s="122" t="s">
        <v>485</v>
      </c>
      <c r="C9" s="145">
        <v>44170</v>
      </c>
      <c r="D9" s="145">
        <v>44170</v>
      </c>
      <c r="E9" s="145">
        <v>44170</v>
      </c>
      <c r="F9" s="146">
        <v>3529</v>
      </c>
      <c r="G9" s="146">
        <v>3529</v>
      </c>
      <c r="H9" s="146">
        <v>3529</v>
      </c>
      <c r="I9" s="146">
        <v>3529</v>
      </c>
      <c r="J9" s="146">
        <v>3529</v>
      </c>
      <c r="K9" s="146">
        <v>3529</v>
      </c>
      <c r="L9" s="146">
        <v>3529</v>
      </c>
      <c r="M9" s="146">
        <v>3529</v>
      </c>
      <c r="N9" s="146">
        <v>3529</v>
      </c>
      <c r="O9" s="146">
        <v>3529</v>
      </c>
      <c r="P9" s="146">
        <v>3529</v>
      </c>
      <c r="Q9" s="146">
        <v>3530</v>
      </c>
      <c r="R9" s="146">
        <f t="shared" si="0"/>
        <v>42349</v>
      </c>
      <c r="S9" s="147">
        <f t="shared" si="1"/>
        <v>1821</v>
      </c>
      <c r="T9" s="144">
        <v>7</v>
      </c>
      <c r="U9" s="144" t="s">
        <v>24</v>
      </c>
      <c r="W9" s="138">
        <f t="shared" si="4"/>
        <v>3529.0833333333298</v>
      </c>
      <c r="X9" s="147">
        <f t="shared" si="2"/>
        <v>40640.92</v>
      </c>
      <c r="Z9" s="123">
        <v>42349</v>
      </c>
      <c r="AA9" s="123">
        <f t="shared" si="3"/>
        <v>1821</v>
      </c>
      <c r="AL9" s="147">
        <v>44170</v>
      </c>
      <c r="AM9" s="147">
        <f t="shared" si="5"/>
        <v>0</v>
      </c>
    </row>
    <row r="10" spans="1:39" ht="93.75" x14ac:dyDescent="0.3">
      <c r="A10" s="141">
        <v>4</v>
      </c>
      <c r="B10" s="148" t="s">
        <v>479</v>
      </c>
      <c r="C10" s="145">
        <v>422766</v>
      </c>
      <c r="D10" s="145">
        <v>422766</v>
      </c>
      <c r="E10" s="145">
        <v>422766</v>
      </c>
      <c r="F10" s="146">
        <v>33778</v>
      </c>
      <c r="G10" s="146">
        <v>33778</v>
      </c>
      <c r="H10" s="146">
        <v>33778</v>
      </c>
      <c r="I10" s="146">
        <v>33778</v>
      </c>
      <c r="J10" s="146">
        <v>33778</v>
      </c>
      <c r="K10" s="146">
        <v>33778</v>
      </c>
      <c r="L10" s="146">
        <v>33778</v>
      </c>
      <c r="M10" s="146">
        <v>33778</v>
      </c>
      <c r="N10" s="146">
        <v>33778</v>
      </c>
      <c r="O10" s="146">
        <v>33778</v>
      </c>
      <c r="P10" s="146">
        <v>33778</v>
      </c>
      <c r="Q10" s="146">
        <v>33778</v>
      </c>
      <c r="R10" s="146">
        <f t="shared" si="0"/>
        <v>405336</v>
      </c>
      <c r="S10" s="147">
        <f t="shared" si="1"/>
        <v>17430</v>
      </c>
      <c r="T10" s="144">
        <v>2</v>
      </c>
      <c r="U10" s="144" t="s">
        <v>25</v>
      </c>
      <c r="W10" s="138">
        <f t="shared" si="4"/>
        <v>33778</v>
      </c>
      <c r="X10" s="147">
        <f t="shared" si="2"/>
        <v>388988</v>
      </c>
      <c r="Z10" s="123">
        <v>405336</v>
      </c>
      <c r="AA10" s="123">
        <f t="shared" si="3"/>
        <v>17430</v>
      </c>
      <c r="AL10" s="147">
        <v>422766</v>
      </c>
      <c r="AM10" s="147">
        <f t="shared" si="5"/>
        <v>0</v>
      </c>
    </row>
    <row r="11" spans="1:39" ht="93.75" x14ac:dyDescent="0.3">
      <c r="A11" s="141">
        <v>5</v>
      </c>
      <c r="B11" s="149" t="s">
        <v>483</v>
      </c>
      <c r="C11" s="145">
        <v>63099</v>
      </c>
      <c r="D11" s="145">
        <v>63099</v>
      </c>
      <c r="E11" s="145">
        <v>63099</v>
      </c>
      <c r="F11" s="146">
        <v>5042</v>
      </c>
      <c r="G11" s="146">
        <v>5042</v>
      </c>
      <c r="H11" s="146">
        <v>5042</v>
      </c>
      <c r="I11" s="146">
        <v>5042</v>
      </c>
      <c r="J11" s="146">
        <v>5042</v>
      </c>
      <c r="K11" s="146">
        <v>5042</v>
      </c>
      <c r="L11" s="146">
        <v>5042</v>
      </c>
      <c r="M11" s="146">
        <v>5042</v>
      </c>
      <c r="N11" s="146">
        <v>5042</v>
      </c>
      <c r="O11" s="146">
        <v>5042</v>
      </c>
      <c r="P11" s="146">
        <v>5042</v>
      </c>
      <c r="Q11" s="146">
        <v>5036</v>
      </c>
      <c r="R11" s="146">
        <f t="shared" si="0"/>
        <v>60498</v>
      </c>
      <c r="S11" s="147">
        <f t="shared" si="1"/>
        <v>2601</v>
      </c>
      <c r="T11" s="144">
        <v>6</v>
      </c>
      <c r="U11" s="144" t="s">
        <v>26</v>
      </c>
      <c r="W11" s="138">
        <f t="shared" si="4"/>
        <v>5041.5</v>
      </c>
      <c r="X11" s="147">
        <f t="shared" si="2"/>
        <v>58057.5</v>
      </c>
      <c r="Z11" s="123">
        <v>60498</v>
      </c>
      <c r="AA11" s="123">
        <f t="shared" si="3"/>
        <v>2601</v>
      </c>
      <c r="AL11" s="147">
        <v>63099</v>
      </c>
      <c r="AM11" s="147">
        <f t="shared" si="5"/>
        <v>0</v>
      </c>
    </row>
    <row r="12" spans="1:39" ht="93.75" x14ac:dyDescent="0.3">
      <c r="A12" s="141">
        <v>6</v>
      </c>
      <c r="B12" s="122" t="s">
        <v>478</v>
      </c>
      <c r="C12" s="145">
        <v>107269</v>
      </c>
      <c r="D12" s="145">
        <v>107269</v>
      </c>
      <c r="E12" s="145">
        <v>107269</v>
      </c>
      <c r="F12" s="146">
        <v>8570</v>
      </c>
      <c r="G12" s="146">
        <v>8570</v>
      </c>
      <c r="H12" s="146">
        <v>8570</v>
      </c>
      <c r="I12" s="146">
        <v>8570</v>
      </c>
      <c r="J12" s="146">
        <v>8570</v>
      </c>
      <c r="K12" s="146">
        <v>8570</v>
      </c>
      <c r="L12" s="146">
        <v>8570</v>
      </c>
      <c r="M12" s="146">
        <v>8570</v>
      </c>
      <c r="N12" s="146">
        <v>8570</v>
      </c>
      <c r="O12" s="146">
        <v>8570</v>
      </c>
      <c r="P12" s="146">
        <v>8570</v>
      </c>
      <c r="Q12" s="146">
        <v>8577</v>
      </c>
      <c r="R12" s="146">
        <f t="shared" si="0"/>
        <v>102847</v>
      </c>
      <c r="S12" s="147">
        <f t="shared" si="1"/>
        <v>4422</v>
      </c>
      <c r="T12" s="144">
        <v>1</v>
      </c>
      <c r="U12" s="144" t="s">
        <v>27</v>
      </c>
      <c r="W12" s="138">
        <f t="shared" si="4"/>
        <v>8570.5833333333303</v>
      </c>
      <c r="X12" s="147">
        <f t="shared" si="2"/>
        <v>98698.42</v>
      </c>
      <c r="Z12" s="123">
        <v>102847</v>
      </c>
      <c r="AA12" s="123">
        <f t="shared" si="3"/>
        <v>4422</v>
      </c>
      <c r="AL12" s="147">
        <v>107269</v>
      </c>
      <c r="AM12" s="147">
        <f t="shared" si="5"/>
        <v>0</v>
      </c>
    </row>
    <row r="13" spans="1:39" ht="93.75" x14ac:dyDescent="0.3">
      <c r="A13" s="141">
        <v>7</v>
      </c>
      <c r="B13" s="150" t="s">
        <v>482</v>
      </c>
      <c r="C13" s="145">
        <v>56789</v>
      </c>
      <c r="D13" s="145">
        <v>56789</v>
      </c>
      <c r="E13" s="145">
        <v>56789</v>
      </c>
      <c r="F13" s="146">
        <v>4537</v>
      </c>
      <c r="G13" s="146">
        <v>4537</v>
      </c>
      <c r="H13" s="146">
        <v>4537</v>
      </c>
      <c r="I13" s="146">
        <v>4537</v>
      </c>
      <c r="J13" s="146">
        <v>4537</v>
      </c>
      <c r="K13" s="146">
        <v>4537</v>
      </c>
      <c r="L13" s="146">
        <v>4537</v>
      </c>
      <c r="M13" s="146">
        <v>4537</v>
      </c>
      <c r="N13" s="146">
        <v>4537</v>
      </c>
      <c r="O13" s="146">
        <v>4537</v>
      </c>
      <c r="P13" s="146">
        <v>4537</v>
      </c>
      <c r="Q13" s="146">
        <v>4541</v>
      </c>
      <c r="R13" s="146">
        <f t="shared" si="0"/>
        <v>54448</v>
      </c>
      <c r="S13" s="147">
        <f t="shared" si="1"/>
        <v>2341</v>
      </c>
      <c r="T13" s="144">
        <v>5</v>
      </c>
      <c r="U13" s="144" t="s">
        <v>28</v>
      </c>
      <c r="W13" s="138">
        <f t="shared" si="4"/>
        <v>4537.3333333333303</v>
      </c>
      <c r="X13" s="147">
        <f t="shared" si="2"/>
        <v>52251.67</v>
      </c>
      <c r="Z13" s="123">
        <v>54448</v>
      </c>
      <c r="AA13" s="123">
        <f t="shared" si="3"/>
        <v>2341</v>
      </c>
      <c r="AL13" s="147">
        <v>56789</v>
      </c>
      <c r="AM13" s="147">
        <f t="shared" si="5"/>
        <v>0</v>
      </c>
    </row>
    <row r="14" spans="1:39" ht="18" customHeight="1" x14ac:dyDescent="0.3">
      <c r="A14" s="151"/>
      <c r="B14" s="152" t="s">
        <v>29</v>
      </c>
      <c r="C14" s="153">
        <f t="shared" ref="C14:R14" si="6">SUM(C7:C13)</f>
        <v>820291</v>
      </c>
      <c r="D14" s="154">
        <f t="shared" si="6"/>
        <v>820291</v>
      </c>
      <c r="E14" s="154">
        <f t="shared" si="6"/>
        <v>820291</v>
      </c>
      <c r="F14" s="153">
        <f t="shared" si="6"/>
        <v>65540</v>
      </c>
      <c r="G14" s="153">
        <f t="shared" si="6"/>
        <v>65540</v>
      </c>
      <c r="H14" s="153">
        <f t="shared" si="6"/>
        <v>65540</v>
      </c>
      <c r="I14" s="153">
        <f t="shared" si="6"/>
        <v>65540</v>
      </c>
      <c r="J14" s="153">
        <f t="shared" si="6"/>
        <v>65540</v>
      </c>
      <c r="K14" s="153">
        <f t="shared" si="6"/>
        <v>65540</v>
      </c>
      <c r="L14" s="153">
        <f t="shared" si="6"/>
        <v>65540</v>
      </c>
      <c r="M14" s="153">
        <f t="shared" si="6"/>
        <v>65540</v>
      </c>
      <c r="N14" s="153">
        <f t="shared" si="6"/>
        <v>65540</v>
      </c>
      <c r="O14" s="153">
        <f t="shared" si="6"/>
        <v>65540</v>
      </c>
      <c r="P14" s="153">
        <f t="shared" si="6"/>
        <v>65540</v>
      </c>
      <c r="Q14" s="153">
        <f t="shared" si="6"/>
        <v>65534</v>
      </c>
      <c r="R14" s="153">
        <f t="shared" si="6"/>
        <v>786474</v>
      </c>
      <c r="S14" s="147">
        <f t="shared" si="1"/>
        <v>33817</v>
      </c>
      <c r="W14" s="138">
        <f t="shared" si="4"/>
        <v>60039.666666666701</v>
      </c>
      <c r="X14" s="147">
        <f t="shared" si="2"/>
        <v>760251.33</v>
      </c>
      <c r="Z14" s="153">
        <v>720476</v>
      </c>
      <c r="AA14" s="153">
        <f t="shared" si="3"/>
        <v>99815</v>
      </c>
      <c r="AL14" s="147">
        <f>SUM(AL7:AL13)</f>
        <v>820291</v>
      </c>
      <c r="AM14" s="147">
        <f>SUM(AM7:AM13)</f>
        <v>0</v>
      </c>
    </row>
    <row r="15" spans="1:39" x14ac:dyDescent="0.3">
      <c r="S15" s="147">
        <f t="shared" si="1"/>
        <v>0</v>
      </c>
    </row>
    <row r="16" spans="1:39" hidden="1" x14ac:dyDescent="0.3">
      <c r="C16" s="156">
        <f>C14-C17</f>
        <v>265767</v>
      </c>
      <c r="D16" s="156">
        <f>D14-D17</f>
        <v>265767</v>
      </c>
      <c r="E16" s="156">
        <f>E14-E17</f>
        <v>265767</v>
      </c>
      <c r="Z16" s="156"/>
      <c r="AA16" s="156"/>
    </row>
    <row r="17" spans="3:27" hidden="1" x14ac:dyDescent="0.3">
      <c r="C17" s="157">
        <f>'[2]приложение 6'!G202</f>
        <v>554524</v>
      </c>
      <c r="D17" s="157">
        <f>'[2]приложение 6'!H202</f>
        <v>554524</v>
      </c>
      <c r="E17" s="157">
        <f>'[2]приложение 6'!I202</f>
        <v>554524</v>
      </c>
      <c r="Z17" s="157"/>
      <c r="AA17" s="157"/>
    </row>
    <row r="18" spans="3:27" hidden="1" x14ac:dyDescent="0.3"/>
  </sheetData>
  <mergeCells count="4">
    <mergeCell ref="A1:E1"/>
    <mergeCell ref="A2:E2"/>
    <mergeCell ref="A3:E3"/>
    <mergeCell ref="A4:E4"/>
  </mergeCells>
  <printOptions horizontalCentered="1"/>
  <pageMargins left="0.78740157480314965" right="0.31496062992125984" top="0.15748031496062992" bottom="0.15748031496062992" header="0.31496062992125984" footer="0.31496062992125984"/>
  <pageSetup paperSize="9" scale="6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F13"/>
  <sheetViews>
    <sheetView zoomScale="110" zoomScaleNormal="110" workbookViewId="0">
      <selection activeCell="P18" sqref="P18"/>
    </sheetView>
  </sheetViews>
  <sheetFormatPr defaultRowHeight="15.75" x14ac:dyDescent="0.25"/>
  <cols>
    <col min="1" max="1" width="2.7109375" style="56" customWidth="1"/>
    <col min="2" max="2" width="8.5703125" style="62" customWidth="1"/>
    <col min="3" max="3" width="44" style="63" customWidth="1"/>
    <col min="4" max="6" width="11.28515625" style="62" customWidth="1"/>
    <col min="7" max="256" width="9.140625" style="56"/>
    <col min="257" max="257" width="2.7109375" style="56" customWidth="1"/>
    <col min="258" max="258" width="8.5703125" style="56" customWidth="1"/>
    <col min="259" max="259" width="44" style="56" customWidth="1"/>
    <col min="260" max="262" width="11.28515625" style="56" customWidth="1"/>
    <col min="263" max="512" width="9.140625" style="56"/>
    <col min="513" max="513" width="2.7109375" style="56" customWidth="1"/>
    <col min="514" max="514" width="8.5703125" style="56" customWidth="1"/>
    <col min="515" max="515" width="44" style="56" customWidth="1"/>
    <col min="516" max="518" width="11.28515625" style="56" customWidth="1"/>
    <col min="519" max="768" width="9.140625" style="56"/>
    <col min="769" max="769" width="2.7109375" style="56" customWidth="1"/>
    <col min="770" max="770" width="8.5703125" style="56" customWidth="1"/>
    <col min="771" max="771" width="44" style="56" customWidth="1"/>
    <col min="772" max="774" width="11.28515625" style="56" customWidth="1"/>
    <col min="775" max="1024" width="9.140625" style="56"/>
    <col min="1025" max="1025" width="2.7109375" style="56" customWidth="1"/>
    <col min="1026" max="1026" width="8.5703125" style="56" customWidth="1"/>
    <col min="1027" max="1027" width="44" style="56" customWidth="1"/>
    <col min="1028" max="1030" width="11.28515625" style="56" customWidth="1"/>
    <col min="1031" max="1280" width="9.140625" style="56"/>
    <col min="1281" max="1281" width="2.7109375" style="56" customWidth="1"/>
    <col min="1282" max="1282" width="8.5703125" style="56" customWidth="1"/>
    <col min="1283" max="1283" width="44" style="56" customWidth="1"/>
    <col min="1284" max="1286" width="11.28515625" style="56" customWidth="1"/>
    <col min="1287" max="1536" width="9.140625" style="56"/>
    <col min="1537" max="1537" width="2.7109375" style="56" customWidth="1"/>
    <col min="1538" max="1538" width="8.5703125" style="56" customWidth="1"/>
    <col min="1539" max="1539" width="44" style="56" customWidth="1"/>
    <col min="1540" max="1542" width="11.28515625" style="56" customWidth="1"/>
    <col min="1543" max="1792" width="9.140625" style="56"/>
    <col min="1793" max="1793" width="2.7109375" style="56" customWidth="1"/>
    <col min="1794" max="1794" width="8.5703125" style="56" customWidth="1"/>
    <col min="1795" max="1795" width="44" style="56" customWidth="1"/>
    <col min="1796" max="1798" width="11.28515625" style="56" customWidth="1"/>
    <col min="1799" max="2048" width="9.140625" style="56"/>
    <col min="2049" max="2049" width="2.7109375" style="56" customWidth="1"/>
    <col min="2050" max="2050" width="8.5703125" style="56" customWidth="1"/>
    <col min="2051" max="2051" width="44" style="56" customWidth="1"/>
    <col min="2052" max="2054" width="11.28515625" style="56" customWidth="1"/>
    <col min="2055" max="2304" width="9.140625" style="56"/>
    <col min="2305" max="2305" width="2.7109375" style="56" customWidth="1"/>
    <col min="2306" max="2306" width="8.5703125" style="56" customWidth="1"/>
    <col min="2307" max="2307" width="44" style="56" customWidth="1"/>
    <col min="2308" max="2310" width="11.28515625" style="56" customWidth="1"/>
    <col min="2311" max="2560" width="9.140625" style="56"/>
    <col min="2561" max="2561" width="2.7109375" style="56" customWidth="1"/>
    <col min="2562" max="2562" width="8.5703125" style="56" customWidth="1"/>
    <col min="2563" max="2563" width="44" style="56" customWidth="1"/>
    <col min="2564" max="2566" width="11.28515625" style="56" customWidth="1"/>
    <col min="2567" max="2816" width="9.140625" style="56"/>
    <col min="2817" max="2817" width="2.7109375" style="56" customWidth="1"/>
    <col min="2818" max="2818" width="8.5703125" style="56" customWidth="1"/>
    <col min="2819" max="2819" width="44" style="56" customWidth="1"/>
    <col min="2820" max="2822" width="11.28515625" style="56" customWidth="1"/>
    <col min="2823" max="3072" width="9.140625" style="56"/>
    <col min="3073" max="3073" width="2.7109375" style="56" customWidth="1"/>
    <col min="3074" max="3074" width="8.5703125" style="56" customWidth="1"/>
    <col min="3075" max="3075" width="44" style="56" customWidth="1"/>
    <col min="3076" max="3078" width="11.28515625" style="56" customWidth="1"/>
    <col min="3079" max="3328" width="9.140625" style="56"/>
    <col min="3329" max="3329" width="2.7109375" style="56" customWidth="1"/>
    <col min="3330" max="3330" width="8.5703125" style="56" customWidth="1"/>
    <col min="3331" max="3331" width="44" style="56" customWidth="1"/>
    <col min="3332" max="3334" width="11.28515625" style="56" customWidth="1"/>
    <col min="3335" max="3584" width="9.140625" style="56"/>
    <col min="3585" max="3585" width="2.7109375" style="56" customWidth="1"/>
    <col min="3586" max="3586" width="8.5703125" style="56" customWidth="1"/>
    <col min="3587" max="3587" width="44" style="56" customWidth="1"/>
    <col min="3588" max="3590" width="11.28515625" style="56" customWidth="1"/>
    <col min="3591" max="3840" width="9.140625" style="56"/>
    <col min="3841" max="3841" width="2.7109375" style="56" customWidth="1"/>
    <col min="3842" max="3842" width="8.5703125" style="56" customWidth="1"/>
    <col min="3843" max="3843" width="44" style="56" customWidth="1"/>
    <col min="3844" max="3846" width="11.28515625" style="56" customWidth="1"/>
    <col min="3847" max="4096" width="9.140625" style="56"/>
    <col min="4097" max="4097" width="2.7109375" style="56" customWidth="1"/>
    <col min="4098" max="4098" width="8.5703125" style="56" customWidth="1"/>
    <col min="4099" max="4099" width="44" style="56" customWidth="1"/>
    <col min="4100" max="4102" width="11.28515625" style="56" customWidth="1"/>
    <col min="4103" max="4352" width="9.140625" style="56"/>
    <col min="4353" max="4353" width="2.7109375" style="56" customWidth="1"/>
    <col min="4354" max="4354" width="8.5703125" style="56" customWidth="1"/>
    <col min="4355" max="4355" width="44" style="56" customWidth="1"/>
    <col min="4356" max="4358" width="11.28515625" style="56" customWidth="1"/>
    <col min="4359" max="4608" width="9.140625" style="56"/>
    <col min="4609" max="4609" width="2.7109375" style="56" customWidth="1"/>
    <col min="4610" max="4610" width="8.5703125" style="56" customWidth="1"/>
    <col min="4611" max="4611" width="44" style="56" customWidth="1"/>
    <col min="4612" max="4614" width="11.28515625" style="56" customWidth="1"/>
    <col min="4615" max="4864" width="9.140625" style="56"/>
    <col min="4865" max="4865" width="2.7109375" style="56" customWidth="1"/>
    <col min="4866" max="4866" width="8.5703125" style="56" customWidth="1"/>
    <col min="4867" max="4867" width="44" style="56" customWidth="1"/>
    <col min="4868" max="4870" width="11.28515625" style="56" customWidth="1"/>
    <col min="4871" max="5120" width="9.140625" style="56"/>
    <col min="5121" max="5121" width="2.7109375" style="56" customWidth="1"/>
    <col min="5122" max="5122" width="8.5703125" style="56" customWidth="1"/>
    <col min="5123" max="5123" width="44" style="56" customWidth="1"/>
    <col min="5124" max="5126" width="11.28515625" style="56" customWidth="1"/>
    <col min="5127" max="5376" width="9.140625" style="56"/>
    <col min="5377" max="5377" width="2.7109375" style="56" customWidth="1"/>
    <col min="5378" max="5378" width="8.5703125" style="56" customWidth="1"/>
    <col min="5379" max="5379" width="44" style="56" customWidth="1"/>
    <col min="5380" max="5382" width="11.28515625" style="56" customWidth="1"/>
    <col min="5383" max="5632" width="9.140625" style="56"/>
    <col min="5633" max="5633" width="2.7109375" style="56" customWidth="1"/>
    <col min="5634" max="5634" width="8.5703125" style="56" customWidth="1"/>
    <col min="5635" max="5635" width="44" style="56" customWidth="1"/>
    <col min="5636" max="5638" width="11.28515625" style="56" customWidth="1"/>
    <col min="5639" max="5888" width="9.140625" style="56"/>
    <col min="5889" max="5889" width="2.7109375" style="56" customWidth="1"/>
    <col min="5890" max="5890" width="8.5703125" style="56" customWidth="1"/>
    <col min="5891" max="5891" width="44" style="56" customWidth="1"/>
    <col min="5892" max="5894" width="11.28515625" style="56" customWidth="1"/>
    <col min="5895" max="6144" width="9.140625" style="56"/>
    <col min="6145" max="6145" width="2.7109375" style="56" customWidth="1"/>
    <col min="6146" max="6146" width="8.5703125" style="56" customWidth="1"/>
    <col min="6147" max="6147" width="44" style="56" customWidth="1"/>
    <col min="6148" max="6150" width="11.28515625" style="56" customWidth="1"/>
    <col min="6151" max="6400" width="9.140625" style="56"/>
    <col min="6401" max="6401" width="2.7109375" style="56" customWidth="1"/>
    <col min="6402" max="6402" width="8.5703125" style="56" customWidth="1"/>
    <col min="6403" max="6403" width="44" style="56" customWidth="1"/>
    <col min="6404" max="6406" width="11.28515625" style="56" customWidth="1"/>
    <col min="6407" max="6656" width="9.140625" style="56"/>
    <col min="6657" max="6657" width="2.7109375" style="56" customWidth="1"/>
    <col min="6658" max="6658" width="8.5703125" style="56" customWidth="1"/>
    <col min="6659" max="6659" width="44" style="56" customWidth="1"/>
    <col min="6660" max="6662" width="11.28515625" style="56" customWidth="1"/>
    <col min="6663" max="6912" width="9.140625" style="56"/>
    <col min="6913" max="6913" width="2.7109375" style="56" customWidth="1"/>
    <col min="6914" max="6914" width="8.5703125" style="56" customWidth="1"/>
    <col min="6915" max="6915" width="44" style="56" customWidth="1"/>
    <col min="6916" max="6918" width="11.28515625" style="56" customWidth="1"/>
    <col min="6919" max="7168" width="9.140625" style="56"/>
    <col min="7169" max="7169" width="2.7109375" style="56" customWidth="1"/>
    <col min="7170" max="7170" width="8.5703125" style="56" customWidth="1"/>
    <col min="7171" max="7171" width="44" style="56" customWidth="1"/>
    <col min="7172" max="7174" width="11.28515625" style="56" customWidth="1"/>
    <col min="7175" max="7424" width="9.140625" style="56"/>
    <col min="7425" max="7425" width="2.7109375" style="56" customWidth="1"/>
    <col min="7426" max="7426" width="8.5703125" style="56" customWidth="1"/>
    <col min="7427" max="7427" width="44" style="56" customWidth="1"/>
    <col min="7428" max="7430" width="11.28515625" style="56" customWidth="1"/>
    <col min="7431" max="7680" width="9.140625" style="56"/>
    <col min="7681" max="7681" width="2.7109375" style="56" customWidth="1"/>
    <col min="7682" max="7682" width="8.5703125" style="56" customWidth="1"/>
    <col min="7683" max="7683" width="44" style="56" customWidth="1"/>
    <col min="7684" max="7686" width="11.28515625" style="56" customWidth="1"/>
    <col min="7687" max="7936" width="9.140625" style="56"/>
    <col min="7937" max="7937" width="2.7109375" style="56" customWidth="1"/>
    <col min="7938" max="7938" width="8.5703125" style="56" customWidth="1"/>
    <col min="7939" max="7939" width="44" style="56" customWidth="1"/>
    <col min="7940" max="7942" width="11.28515625" style="56" customWidth="1"/>
    <col min="7943" max="8192" width="9.140625" style="56"/>
    <col min="8193" max="8193" width="2.7109375" style="56" customWidth="1"/>
    <col min="8194" max="8194" width="8.5703125" style="56" customWidth="1"/>
    <col min="8195" max="8195" width="44" style="56" customWidth="1"/>
    <col min="8196" max="8198" width="11.28515625" style="56" customWidth="1"/>
    <col min="8199" max="8448" width="9.140625" style="56"/>
    <col min="8449" max="8449" width="2.7109375" style="56" customWidth="1"/>
    <col min="8450" max="8450" width="8.5703125" style="56" customWidth="1"/>
    <col min="8451" max="8451" width="44" style="56" customWidth="1"/>
    <col min="8452" max="8454" width="11.28515625" style="56" customWidth="1"/>
    <col min="8455" max="8704" width="9.140625" style="56"/>
    <col min="8705" max="8705" width="2.7109375" style="56" customWidth="1"/>
    <col min="8706" max="8706" width="8.5703125" style="56" customWidth="1"/>
    <col min="8707" max="8707" width="44" style="56" customWidth="1"/>
    <col min="8708" max="8710" width="11.28515625" style="56" customWidth="1"/>
    <col min="8711" max="8960" width="9.140625" style="56"/>
    <col min="8961" max="8961" width="2.7109375" style="56" customWidth="1"/>
    <col min="8962" max="8962" width="8.5703125" style="56" customWidth="1"/>
    <col min="8963" max="8963" width="44" style="56" customWidth="1"/>
    <col min="8964" max="8966" width="11.28515625" style="56" customWidth="1"/>
    <col min="8967" max="9216" width="9.140625" style="56"/>
    <col min="9217" max="9217" width="2.7109375" style="56" customWidth="1"/>
    <col min="9218" max="9218" width="8.5703125" style="56" customWidth="1"/>
    <col min="9219" max="9219" width="44" style="56" customWidth="1"/>
    <col min="9220" max="9222" width="11.28515625" style="56" customWidth="1"/>
    <col min="9223" max="9472" width="9.140625" style="56"/>
    <col min="9473" max="9473" width="2.7109375" style="56" customWidth="1"/>
    <col min="9474" max="9474" width="8.5703125" style="56" customWidth="1"/>
    <col min="9475" max="9475" width="44" style="56" customWidth="1"/>
    <col min="9476" max="9478" width="11.28515625" style="56" customWidth="1"/>
    <col min="9479" max="9728" width="9.140625" style="56"/>
    <col min="9729" max="9729" width="2.7109375" style="56" customWidth="1"/>
    <col min="9730" max="9730" width="8.5703125" style="56" customWidth="1"/>
    <col min="9731" max="9731" width="44" style="56" customWidth="1"/>
    <col min="9732" max="9734" width="11.28515625" style="56" customWidth="1"/>
    <col min="9735" max="9984" width="9.140625" style="56"/>
    <col min="9985" max="9985" width="2.7109375" style="56" customWidth="1"/>
    <col min="9986" max="9986" width="8.5703125" style="56" customWidth="1"/>
    <col min="9987" max="9987" width="44" style="56" customWidth="1"/>
    <col min="9988" max="9990" width="11.28515625" style="56" customWidth="1"/>
    <col min="9991" max="10240" width="9.140625" style="56"/>
    <col min="10241" max="10241" width="2.7109375" style="56" customWidth="1"/>
    <col min="10242" max="10242" width="8.5703125" style="56" customWidth="1"/>
    <col min="10243" max="10243" width="44" style="56" customWidth="1"/>
    <col min="10244" max="10246" width="11.28515625" style="56" customWidth="1"/>
    <col min="10247" max="10496" width="9.140625" style="56"/>
    <col min="10497" max="10497" width="2.7109375" style="56" customWidth="1"/>
    <col min="10498" max="10498" width="8.5703125" style="56" customWidth="1"/>
    <col min="10499" max="10499" width="44" style="56" customWidth="1"/>
    <col min="10500" max="10502" width="11.28515625" style="56" customWidth="1"/>
    <col min="10503" max="10752" width="9.140625" style="56"/>
    <col min="10753" max="10753" width="2.7109375" style="56" customWidth="1"/>
    <col min="10754" max="10754" width="8.5703125" style="56" customWidth="1"/>
    <col min="10755" max="10755" width="44" style="56" customWidth="1"/>
    <col min="10756" max="10758" width="11.28515625" style="56" customWidth="1"/>
    <col min="10759" max="11008" width="9.140625" style="56"/>
    <col min="11009" max="11009" width="2.7109375" style="56" customWidth="1"/>
    <col min="11010" max="11010" width="8.5703125" style="56" customWidth="1"/>
    <col min="11011" max="11011" width="44" style="56" customWidth="1"/>
    <col min="11012" max="11014" width="11.28515625" style="56" customWidth="1"/>
    <col min="11015" max="11264" width="9.140625" style="56"/>
    <col min="11265" max="11265" width="2.7109375" style="56" customWidth="1"/>
    <col min="11266" max="11266" width="8.5703125" style="56" customWidth="1"/>
    <col min="11267" max="11267" width="44" style="56" customWidth="1"/>
    <col min="11268" max="11270" width="11.28515625" style="56" customWidth="1"/>
    <col min="11271" max="11520" width="9.140625" style="56"/>
    <col min="11521" max="11521" width="2.7109375" style="56" customWidth="1"/>
    <col min="11522" max="11522" width="8.5703125" style="56" customWidth="1"/>
    <col min="11523" max="11523" width="44" style="56" customWidth="1"/>
    <col min="11524" max="11526" width="11.28515625" style="56" customWidth="1"/>
    <col min="11527" max="11776" width="9.140625" style="56"/>
    <col min="11777" max="11777" width="2.7109375" style="56" customWidth="1"/>
    <col min="11778" max="11778" width="8.5703125" style="56" customWidth="1"/>
    <col min="11779" max="11779" width="44" style="56" customWidth="1"/>
    <col min="11780" max="11782" width="11.28515625" style="56" customWidth="1"/>
    <col min="11783" max="12032" width="9.140625" style="56"/>
    <col min="12033" max="12033" width="2.7109375" style="56" customWidth="1"/>
    <col min="12034" max="12034" width="8.5703125" style="56" customWidth="1"/>
    <col min="12035" max="12035" width="44" style="56" customWidth="1"/>
    <col min="12036" max="12038" width="11.28515625" style="56" customWidth="1"/>
    <col min="12039" max="12288" width="9.140625" style="56"/>
    <col min="12289" max="12289" width="2.7109375" style="56" customWidth="1"/>
    <col min="12290" max="12290" width="8.5703125" style="56" customWidth="1"/>
    <col min="12291" max="12291" width="44" style="56" customWidth="1"/>
    <col min="12292" max="12294" width="11.28515625" style="56" customWidth="1"/>
    <col min="12295" max="12544" width="9.140625" style="56"/>
    <col min="12545" max="12545" width="2.7109375" style="56" customWidth="1"/>
    <col min="12546" max="12546" width="8.5703125" style="56" customWidth="1"/>
    <col min="12547" max="12547" width="44" style="56" customWidth="1"/>
    <col min="12548" max="12550" width="11.28515625" style="56" customWidth="1"/>
    <col min="12551" max="12800" width="9.140625" style="56"/>
    <col min="12801" max="12801" width="2.7109375" style="56" customWidth="1"/>
    <col min="12802" max="12802" width="8.5703125" style="56" customWidth="1"/>
    <col min="12803" max="12803" width="44" style="56" customWidth="1"/>
    <col min="12804" max="12806" width="11.28515625" style="56" customWidth="1"/>
    <col min="12807" max="13056" width="9.140625" style="56"/>
    <col min="13057" max="13057" width="2.7109375" style="56" customWidth="1"/>
    <col min="13058" max="13058" width="8.5703125" style="56" customWidth="1"/>
    <col min="13059" max="13059" width="44" style="56" customWidth="1"/>
    <col min="13060" max="13062" width="11.28515625" style="56" customWidth="1"/>
    <col min="13063" max="13312" width="9.140625" style="56"/>
    <col min="13313" max="13313" width="2.7109375" style="56" customWidth="1"/>
    <col min="13314" max="13314" width="8.5703125" style="56" customWidth="1"/>
    <col min="13315" max="13315" width="44" style="56" customWidth="1"/>
    <col min="13316" max="13318" width="11.28515625" style="56" customWidth="1"/>
    <col min="13319" max="13568" width="9.140625" style="56"/>
    <col min="13569" max="13569" width="2.7109375" style="56" customWidth="1"/>
    <col min="13570" max="13570" width="8.5703125" style="56" customWidth="1"/>
    <col min="13571" max="13571" width="44" style="56" customWidth="1"/>
    <col min="13572" max="13574" width="11.28515625" style="56" customWidth="1"/>
    <col min="13575" max="13824" width="9.140625" style="56"/>
    <col min="13825" max="13825" width="2.7109375" style="56" customWidth="1"/>
    <col min="13826" max="13826" width="8.5703125" style="56" customWidth="1"/>
    <col min="13827" max="13827" width="44" style="56" customWidth="1"/>
    <col min="13828" max="13830" width="11.28515625" style="56" customWidth="1"/>
    <col min="13831" max="14080" width="9.140625" style="56"/>
    <col min="14081" max="14081" width="2.7109375" style="56" customWidth="1"/>
    <col min="14082" max="14082" width="8.5703125" style="56" customWidth="1"/>
    <col min="14083" max="14083" width="44" style="56" customWidth="1"/>
    <col min="14084" max="14086" width="11.28515625" style="56" customWidth="1"/>
    <col min="14087" max="14336" width="9.140625" style="56"/>
    <col min="14337" max="14337" width="2.7109375" style="56" customWidth="1"/>
    <col min="14338" max="14338" width="8.5703125" style="56" customWidth="1"/>
    <col min="14339" max="14339" width="44" style="56" customWidth="1"/>
    <col min="14340" max="14342" width="11.28515625" style="56" customWidth="1"/>
    <col min="14343" max="14592" width="9.140625" style="56"/>
    <col min="14593" max="14593" width="2.7109375" style="56" customWidth="1"/>
    <col min="14594" max="14594" width="8.5703125" style="56" customWidth="1"/>
    <col min="14595" max="14595" width="44" style="56" customWidth="1"/>
    <col min="14596" max="14598" width="11.28515625" style="56" customWidth="1"/>
    <col min="14599" max="14848" width="9.140625" style="56"/>
    <col min="14849" max="14849" width="2.7109375" style="56" customWidth="1"/>
    <col min="14850" max="14850" width="8.5703125" style="56" customWidth="1"/>
    <col min="14851" max="14851" width="44" style="56" customWidth="1"/>
    <col min="14852" max="14854" width="11.28515625" style="56" customWidth="1"/>
    <col min="14855" max="15104" width="9.140625" style="56"/>
    <col min="15105" max="15105" width="2.7109375" style="56" customWidth="1"/>
    <col min="15106" max="15106" width="8.5703125" style="56" customWidth="1"/>
    <col min="15107" max="15107" width="44" style="56" customWidth="1"/>
    <col min="15108" max="15110" width="11.28515625" style="56" customWidth="1"/>
    <col min="15111" max="15360" width="9.140625" style="56"/>
    <col min="15361" max="15361" width="2.7109375" style="56" customWidth="1"/>
    <col min="15362" max="15362" width="8.5703125" style="56" customWidth="1"/>
    <col min="15363" max="15363" width="44" style="56" customWidth="1"/>
    <col min="15364" max="15366" width="11.28515625" style="56" customWidth="1"/>
    <col min="15367" max="15616" width="9.140625" style="56"/>
    <col min="15617" max="15617" width="2.7109375" style="56" customWidth="1"/>
    <col min="15618" max="15618" width="8.5703125" style="56" customWidth="1"/>
    <col min="15619" max="15619" width="44" style="56" customWidth="1"/>
    <col min="15620" max="15622" width="11.28515625" style="56" customWidth="1"/>
    <col min="15623" max="15872" width="9.140625" style="56"/>
    <col min="15873" max="15873" width="2.7109375" style="56" customWidth="1"/>
    <col min="15874" max="15874" width="8.5703125" style="56" customWidth="1"/>
    <col min="15875" max="15875" width="44" style="56" customWidth="1"/>
    <col min="15876" max="15878" width="11.28515625" style="56" customWidth="1"/>
    <col min="15879" max="16128" width="9.140625" style="56"/>
    <col min="16129" max="16129" width="2.7109375" style="56" customWidth="1"/>
    <col min="16130" max="16130" width="8.5703125" style="56" customWidth="1"/>
    <col min="16131" max="16131" width="44" style="56" customWidth="1"/>
    <col min="16132" max="16134" width="11.28515625" style="56" customWidth="1"/>
    <col min="16135" max="16384" width="9.140625" style="56"/>
  </cols>
  <sheetData>
    <row r="1" spans="1:6" ht="15.75" customHeight="1" x14ac:dyDescent="0.25">
      <c r="A1" s="217" t="s">
        <v>527</v>
      </c>
      <c r="B1" s="199"/>
      <c r="C1" s="199"/>
      <c r="D1" s="199"/>
      <c r="E1" s="199"/>
      <c r="F1" s="199"/>
    </row>
    <row r="2" spans="1:6" ht="15.75" customHeight="1" x14ac:dyDescent="0.25">
      <c r="A2" s="227" t="s">
        <v>0</v>
      </c>
      <c r="B2" s="199"/>
      <c r="C2" s="199"/>
      <c r="D2" s="199"/>
      <c r="E2" s="199"/>
      <c r="F2" s="199"/>
    </row>
    <row r="3" spans="1:6" ht="15.75" customHeight="1" x14ac:dyDescent="0.25">
      <c r="A3" s="227" t="s">
        <v>658</v>
      </c>
      <c r="B3" s="199"/>
      <c r="C3" s="199"/>
      <c r="D3" s="199"/>
      <c r="E3" s="199"/>
      <c r="F3" s="199"/>
    </row>
    <row r="4" spans="1:6" ht="85.5" customHeight="1" x14ac:dyDescent="0.25">
      <c r="A4" s="228" t="s">
        <v>494</v>
      </c>
      <c r="B4" s="199"/>
      <c r="C4" s="199"/>
      <c r="D4" s="199"/>
      <c r="E4" s="199"/>
      <c r="F4" s="199"/>
    </row>
    <row r="5" spans="1:6" ht="45" customHeight="1" x14ac:dyDescent="0.25">
      <c r="B5" s="57" t="s">
        <v>6</v>
      </c>
      <c r="C5" s="58" t="s">
        <v>368</v>
      </c>
      <c r="D5" s="58" t="s">
        <v>462</v>
      </c>
      <c r="E5" s="58" t="s">
        <v>476</v>
      </c>
      <c r="F5" s="58" t="s">
        <v>495</v>
      </c>
    </row>
    <row r="6" spans="1:6" ht="15.75" customHeight="1" x14ac:dyDescent="0.25">
      <c r="B6" s="57">
        <v>1</v>
      </c>
      <c r="C6" s="58">
        <v>2</v>
      </c>
      <c r="D6" s="57">
        <v>3</v>
      </c>
      <c r="E6" s="57">
        <v>4</v>
      </c>
      <c r="F6" s="57">
        <v>5</v>
      </c>
    </row>
    <row r="7" spans="1:6" ht="47.25" x14ac:dyDescent="0.25">
      <c r="B7" s="57">
        <v>1</v>
      </c>
      <c r="C7" s="59" t="s">
        <v>369</v>
      </c>
      <c r="D7" s="60">
        <f>D8-D11</f>
        <v>0</v>
      </c>
      <c r="E7" s="60">
        <v>0</v>
      </c>
      <c r="F7" s="60">
        <v>0</v>
      </c>
    </row>
    <row r="8" spans="1:6" ht="31.5" x14ac:dyDescent="0.25">
      <c r="B8" s="61" t="s">
        <v>370</v>
      </c>
      <c r="C8" s="59" t="s">
        <v>371</v>
      </c>
      <c r="D8" s="60">
        <v>0</v>
      </c>
      <c r="E8" s="60">
        <v>0</v>
      </c>
      <c r="F8" s="60">
        <v>0</v>
      </c>
    </row>
    <row r="9" spans="1:6" x14ac:dyDescent="0.25">
      <c r="B9" s="57" t="s">
        <v>372</v>
      </c>
      <c r="C9" s="59" t="s">
        <v>373</v>
      </c>
      <c r="D9" s="60">
        <v>0</v>
      </c>
      <c r="E9" s="60">
        <v>0</v>
      </c>
      <c r="F9" s="60">
        <v>0</v>
      </c>
    </row>
    <row r="10" spans="1:6" ht="47.25" x14ac:dyDescent="0.25">
      <c r="B10" s="57" t="s">
        <v>374</v>
      </c>
      <c r="C10" s="59" t="s">
        <v>375</v>
      </c>
      <c r="D10" s="60">
        <v>0</v>
      </c>
      <c r="E10" s="60">
        <v>0</v>
      </c>
      <c r="F10" s="60">
        <v>0</v>
      </c>
    </row>
    <row r="11" spans="1:6" ht="31.5" x14ac:dyDescent="0.25">
      <c r="B11" s="61" t="s">
        <v>376</v>
      </c>
      <c r="C11" s="59" t="s">
        <v>377</v>
      </c>
      <c r="D11" s="60">
        <v>0</v>
      </c>
      <c r="E11" s="60">
        <v>0</v>
      </c>
      <c r="F11" s="60">
        <v>0</v>
      </c>
    </row>
    <row r="12" spans="1:6" ht="31.5" x14ac:dyDescent="0.25">
      <c r="B12" s="57" t="s">
        <v>372</v>
      </c>
      <c r="C12" s="59" t="s">
        <v>378</v>
      </c>
      <c r="D12" s="60">
        <v>0</v>
      </c>
      <c r="E12" s="60">
        <v>0</v>
      </c>
      <c r="F12" s="60">
        <v>0</v>
      </c>
    </row>
    <row r="13" spans="1:6" ht="47.25" x14ac:dyDescent="0.25">
      <c r="B13" s="57" t="s">
        <v>374</v>
      </c>
      <c r="C13" s="59" t="s">
        <v>379</v>
      </c>
      <c r="D13" s="60">
        <v>0</v>
      </c>
      <c r="E13" s="60">
        <v>0</v>
      </c>
      <c r="F13" s="60">
        <v>0</v>
      </c>
    </row>
  </sheetData>
  <mergeCells count="4">
    <mergeCell ref="A1:F1"/>
    <mergeCell ref="A2:F2"/>
    <mergeCell ref="A3:F3"/>
    <mergeCell ref="A4:F4"/>
  </mergeCells>
  <printOptions horizontalCentered="1"/>
  <pageMargins left="0.78740157480314965" right="0.70866141732283472" top="0.74803149606299213" bottom="0.74803149606299213" header="0.31496062992125984" footer="0.31496062992125984"/>
  <pageSetup paperSize="9" scale="9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Приложение 1</vt:lpstr>
      <vt:lpstr>Приложение 2</vt:lpstr>
      <vt:lpstr>приложение 3</vt:lpstr>
      <vt:lpstr>приложение 4</vt:lpstr>
      <vt:lpstr>приложение 5</vt:lpstr>
      <vt:lpstr>Приложение 6</vt:lpstr>
      <vt:lpstr>Приложение 7</vt:lpstr>
      <vt:lpstr>Лист1</vt:lpstr>
      <vt:lpstr>'Приложение 2'!Заголовки_для_печати</vt:lpstr>
      <vt:lpstr>'приложение 3'!Заголовки_для_печати</vt:lpstr>
      <vt:lpstr>'приложение 4'!Заголовки_для_печати</vt:lpstr>
      <vt:lpstr>'приложение 5'!Заголовки_для_печати</vt:lpstr>
      <vt:lpstr>'Приложение 2'!Область_печати</vt:lpstr>
      <vt:lpstr>'приложение 3'!Область_печати</vt:lpstr>
      <vt:lpstr>'приложение 4'!Область_печати</vt:lpstr>
      <vt:lpstr>'приложение 5'!Область_печати</vt:lpstr>
      <vt:lpstr>'Приложение 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dc:creator>
  <cp:lastModifiedBy>NT</cp:lastModifiedBy>
  <cp:lastPrinted>2022-06-27T06:41:59Z</cp:lastPrinted>
  <dcterms:created xsi:type="dcterms:W3CDTF">2019-09-24T04:11:01Z</dcterms:created>
  <dcterms:modified xsi:type="dcterms:W3CDTF">2022-10-05T08:39:44Z</dcterms:modified>
</cp:coreProperties>
</file>